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stos mão de obra" sheetId="1" r:id="rId4"/>
    <sheet state="visible" name="Base de custos" sheetId="2" r:id="rId5"/>
    <sheet state="visible" name="Custos" sheetId="3" r:id="rId6"/>
    <sheet state="hidden" name="Gráfico" sheetId="4" r:id="rId7"/>
  </sheets>
  <definedNames/>
  <calcPr/>
  <extLst>
    <ext uri="GoogleSheetsCustomDataVersion1">
      <go:sheetsCustomData xmlns:go="http://customooxmlschemas.google.com/" r:id="rId8" roundtripDataSignature="AMtx7mjHNWuOnJ9+mB3+gQPy6kUI9v43pQ=="/>
    </ext>
  </extLst>
</workbook>
</file>

<file path=xl/sharedStrings.xml><?xml version="1.0" encoding="utf-8"?>
<sst xmlns="http://schemas.openxmlformats.org/spreadsheetml/2006/main" count="211" uniqueCount="128">
  <si>
    <t>Custo de pessoal</t>
  </si>
  <si>
    <t>Obrigações da contratada:</t>
  </si>
  <si>
    <t>Salários</t>
  </si>
  <si>
    <t>Encargos sociais</t>
  </si>
  <si>
    <t>Tributos</t>
  </si>
  <si>
    <t>Parâmetros</t>
  </si>
  <si>
    <t>Salários pesquisados para Brasília, Distrito Federal
www.glassdoor.com.br</t>
  </si>
  <si>
    <t>Convenção coletiva de trabalho</t>
  </si>
  <si>
    <t>Equipe mínima de Planejamento, Gestão e Melhoria da Performance de Atendimento e Execução</t>
  </si>
  <si>
    <t>Coordenador Gestão de processos</t>
  </si>
  <si>
    <t>Gerente experiente de consultoria</t>
  </si>
  <si>
    <t>Gerente de projetos</t>
  </si>
  <si>
    <t>Consultor Sênior em revisão de processos</t>
  </si>
  <si>
    <t>Consultor Pleno em revisão de processos</t>
  </si>
  <si>
    <t>Consultor Sênior em Gestão de Indicadores de Desempenho</t>
  </si>
  <si>
    <t>Consultor Pleno em Gestão de Indicadores de Desempenho</t>
  </si>
  <si>
    <t>Consultor Sênior em Gestão de Mudanças</t>
  </si>
  <si>
    <t>Consultor Pleno em Gestão de Mudanças</t>
  </si>
  <si>
    <t>1. Remuneração</t>
  </si>
  <si>
    <t>1.1 Salário</t>
  </si>
  <si>
    <t>1.2 13% salário (8,33%)</t>
  </si>
  <si>
    <t>1.3 1/3 de férias (2,78%)</t>
  </si>
  <si>
    <t>2. Encargos sociais</t>
  </si>
  <si>
    <t>2.1. INSS Patronal (20%)</t>
  </si>
  <si>
    <t>2.2. FGTS (8%)</t>
  </si>
  <si>
    <t>2.3 Outras entidades (5,8%)</t>
  </si>
  <si>
    <t>2.4. GIIL -RAT (3%)</t>
  </si>
  <si>
    <t>3. Benefícios</t>
  </si>
  <si>
    <t>3.1. Auxílio Transporte</t>
  </si>
  <si>
    <t>4. Custo rescisório</t>
  </si>
  <si>
    <t>4.1 Multa do FGTS</t>
  </si>
  <si>
    <t>5. BDI</t>
  </si>
  <si>
    <t>Total</t>
  </si>
  <si>
    <t>Valor/hora</t>
  </si>
  <si>
    <t>Equipe Mínima - Serviços Referentes ao Planejamento, Gestão e Melhoria da Performance de Atendimento</t>
  </si>
  <si>
    <t>Valor/hora (R$/h)</t>
  </si>
  <si>
    <t>Total de horas em 30 meses (h)</t>
  </si>
  <si>
    <t>Valor total (R$)</t>
  </si>
  <si>
    <t>Valor de referência unitário (R$) (Valor total/Total de horas em 30 meses)</t>
  </si>
  <si>
    <t>Item</t>
  </si>
  <si>
    <t>Componentes</t>
  </si>
  <si>
    <t>Subtotal</t>
  </si>
  <si>
    <t>Despesas indiretas</t>
  </si>
  <si>
    <t>Lucro</t>
  </si>
  <si>
    <t>Despesas fiscais</t>
  </si>
  <si>
    <t>PIS</t>
  </si>
  <si>
    <t>COFINS</t>
  </si>
  <si>
    <t>ISSQN</t>
  </si>
  <si>
    <t>BDI</t>
  </si>
  <si>
    <t>Pregão Eletrônico 001/2021 - Nº Processo: 110537/2021 - SEMIT Salvador</t>
  </si>
  <si>
    <t>na</t>
  </si>
  <si>
    <t>Nº Pregão: 7042021 - UASG: 986001 - Prefeitura Municipal do Rio de Janeiro</t>
  </si>
  <si>
    <t>Pregão Eletrônico 31/SMIT/2021 - Processo  6023.2019/0003628-4 - OC 801018801002021OC00043
 - BEC/SP</t>
  </si>
  <si>
    <t>Média</t>
  </si>
  <si>
    <r>
      <rPr>
        <rFont val="Calibri"/>
        <color theme="1"/>
        <sz val="11.0"/>
      </rPr>
      <t xml:space="preserve">Essa aba tem como objetivo registrar todos os preços obtidos nas fontes para pesquisa de preço e encontrar os valores válidos. Para isso, conforme estabelecidas no Decreto nº 39.453 e na Portaria nº 514, a planilha está automatizada para:
I - calcular a MEDIANA de todos os preços;
II - identificação valores exorbitantes e inexequíveis (aqueles 50% superiores ou inferiores a mediana);
III - calcular mínimo, mediana, média e máximo dos valores considerados válidos.
</t>
    </r>
    <r>
      <rPr>
        <rFont val="Calibri"/>
        <b/>
        <color theme="1"/>
        <sz val="11.0"/>
      </rPr>
      <t>INSTRUÇÕES:</t>
    </r>
    <r>
      <rPr>
        <rFont val="Calibri"/>
        <color theme="1"/>
        <sz val="11.0"/>
      </rPr>
      <t xml:space="preserve">
1) Preencha apenas as células em BRANCO com o Nome do Fornecedor/Fonte, a Descrição do objeto (Fornecedor) e o preço do objeto.</t>
    </r>
  </si>
  <si>
    <t>Atendimento humano receptivo e ativo por telefone</t>
  </si>
  <si>
    <t>Fornecedor 1</t>
  </si>
  <si>
    <t>Fornecedor 2</t>
  </si>
  <si>
    <t>Fornecedor 3</t>
  </si>
  <si>
    <t>Fornecedor 4</t>
  </si>
  <si>
    <t>Fornecedor 5</t>
  </si>
  <si>
    <t>Fornecedor 6</t>
  </si>
  <si>
    <t>Fornecedor 7</t>
  </si>
  <si>
    <t>Fornecedor 8</t>
  </si>
  <si>
    <t>Fornecedor 9</t>
  </si>
  <si>
    <t>Fornecedor 10</t>
  </si>
  <si>
    <t>I - Mediana</t>
  </si>
  <si>
    <t>II - Outliers (50% menor da mediana)</t>
  </si>
  <si>
    <t>II - Outliers (50% maior mediana)</t>
  </si>
  <si>
    <t>Nome do Fornecedor/Fonte</t>
  </si>
  <si>
    <r>
      <rPr>
        <rFont val="Calibri"/>
        <color theme="1"/>
        <sz val="6.0"/>
      </rPr>
      <t>Pregão Eletrônico 001/2021 - Nº Processo: 110537/2021 - SEMIT Salvador
(Acompanhamento de licitações &gt; Concluídas &gt; Homologada &gt; Pesquisar "Contact Center ou 001</t>
    </r>
    <r>
      <rPr>
        <rFont val="Calibri"/>
        <color rgb="FF000000"/>
        <sz val="6.0"/>
      </rPr>
      <t xml:space="preserve">"
</t>
    </r>
    <r>
      <rPr>
        <rFont val="Calibri"/>
        <color rgb="FF1155CC"/>
        <sz val="6.0"/>
        <u/>
      </rPr>
      <t xml:space="preserve">https://www.licitacoes-e.com.br/aop/index.jsp?codSite=7546&amp;url=www.compras.salvador.ba.gov.br
</t>
    </r>
    <r>
      <rPr>
        <rFont val="Calibri"/>
        <color theme="1"/>
        <sz val="6.0"/>
      </rPr>
      <t xml:space="preserve">http://www.compras.salvador.ba.gov.br/novo/?secao=licitacao&amp;lipr=001/2021&amp;molp=5&amp;orga=7175 </t>
    </r>
  </si>
  <si>
    <r>
      <rPr>
        <rFont val="Calibri"/>
        <color theme="1"/>
        <sz val="6.0"/>
      </rPr>
      <t>Nº Pregão: 7042021 - UASG: 986001 - Prefeitura Municipal do Rio de Janeiro</t>
    </r>
    <r>
      <rPr>
        <rFont val="Calibri"/>
        <color rgb="FF000000"/>
        <sz val="6.0"/>
      </rPr>
      <t xml:space="preserve">
</t>
    </r>
    <r>
      <rPr>
        <rFont val="Calibri"/>
        <color rgb="FF1155CC"/>
        <sz val="6.0"/>
        <u/>
      </rPr>
      <t>http://comprasnet.gov.br/livre/pregao/ata2.asp?co_no_uasg=986001&amp;numprp=7042021&amp;f_lstSrp=&amp;f_Uf=&amp;f_numPrp=7042021&amp;f_codUasg=986001&amp;f_tpPregao=E&amp;f_lstICMS=&amp;f_dtAberturaIni=&amp;f_dtAberturaFim=</t>
    </r>
  </si>
  <si>
    <r>
      <rPr>
        <rFont val="Calibri"/>
        <color theme="1"/>
        <sz val="6.0"/>
      </rPr>
      <t>Nº Pregão: 7042021 - UASG: 986001 - Prefeitura Municipal do Rio de Janeiro</t>
    </r>
    <r>
      <rPr>
        <rFont val="Calibri"/>
        <color rgb="FF000000"/>
        <sz val="6.0"/>
      </rPr>
      <t xml:space="preserve">
</t>
    </r>
    <r>
      <rPr>
        <rFont val="Calibri"/>
        <color rgb="FF1155CC"/>
        <sz val="6.0"/>
        <u/>
      </rPr>
      <t>http://comprasnet.gov.br/livre/pregao/ata2.asp?co_no_uasg=986001&amp;numprp=7042021&amp;f_lstSrp=&amp;f_Uf=&amp;f_numPrp=7042021&amp;f_codUasg=986001&amp;f_tpPregao=E&amp;f_lstICMS=&amp;f_dtAberturaIni=&amp;f_dtAberturaFim=</t>
    </r>
  </si>
  <si>
    <r>
      <rPr>
        <rFont val="Calibri"/>
        <color theme="1"/>
        <sz val="6.0"/>
      </rPr>
      <t>Pregão Eletrônico 31/SMIT/2021 - Processo  6023.2019/0003628-4 - OC 801018801002021OC00043
 - BEC/SP</t>
    </r>
    <r>
      <rPr>
        <rFont val="Calibri"/>
        <color rgb="FF000000"/>
        <sz val="6.0"/>
      </rPr>
      <t xml:space="preserve">
</t>
    </r>
    <r>
      <rPr>
        <rFont val="Calibri"/>
        <color rgb="FF1155CC"/>
        <sz val="6.0"/>
        <u/>
      </rPr>
      <t>https://www.bec.sp.gov.br/bec_pregao_UI/Ata/becprp17001.aspx?mj3jEe9lfF5uVtKXsfroIQ5%2flYpaGarv9MnRlpU4jRW2QaLCu%2bSOVXbYP%2fJqw%2bBc</t>
    </r>
  </si>
  <si>
    <r>
      <rPr>
        <rFont val="Calibri"/>
        <color theme="1"/>
        <sz val="6.0"/>
      </rPr>
      <t>Pregão Eletrônico 31/SMIT/2021 - Processo  6023.2019/0003628-4 - OC 801018801002021OC00043
 - BEC/SP</t>
    </r>
    <r>
      <rPr>
        <rFont val="Calibri"/>
        <color rgb="FF000000"/>
        <sz val="6.0"/>
      </rPr>
      <t xml:space="preserve">
</t>
    </r>
    <r>
      <rPr>
        <rFont val="Calibri"/>
        <color rgb="FF1155CC"/>
        <sz val="6.0"/>
        <u/>
      </rPr>
      <t>https://www.bec.sp.gov.br/bec_pregao_UI/Ata/becprp17001.aspx?mj3jEe9lfF5uVtKXsfroIQ5%2flYpaGarv9MnRlpU4jRW2QaLCu%2bSOVXbYP%2fJqw%2bBc</t>
    </r>
  </si>
  <si>
    <t>Descrição do objeto (Fornecedor)</t>
  </si>
  <si>
    <t>Atendimento de Telefonia tradicional (voz) - ativo e 
passivo</t>
  </si>
  <si>
    <t>Atendimento humano receptivo telefônico</t>
  </si>
  <si>
    <t>Atendimento humano ativo</t>
  </si>
  <si>
    <t>VA (ligações com NS&gt;=85% e ILA&lt;=5% e ligações ativas)</t>
  </si>
  <si>
    <t>VA NS&gt;=95% e ILA&lt;=2%</t>
  </si>
  <si>
    <t>Quantidade</t>
  </si>
  <si>
    <t>Análise de valores válidos</t>
  </si>
  <si>
    <t>Limite Inferior (Mín)</t>
  </si>
  <si>
    <t>Mediana dos valores válidos</t>
  </si>
  <si>
    <t>Média dos valores válidos</t>
  </si>
  <si>
    <t>Limite Superior (Máx)</t>
  </si>
  <si>
    <t>Atendimento humano receptivo e ativo online</t>
  </si>
  <si>
    <r>
      <rPr>
        <rFont val="Calibri"/>
        <color theme="1"/>
        <sz val="6.0"/>
      </rPr>
      <t>Pregão Eletrônico 001/2021 - Nº Processo: 110537/2021 - SEMIT Salvador
(Acompanhamento de licitações &gt; Concluídas &gt; Homologada &gt; Pesquisar "Contact Center ou 001</t>
    </r>
    <r>
      <rPr>
        <rFont val="Calibri"/>
        <color rgb="FF000000"/>
        <sz val="6.0"/>
      </rPr>
      <t xml:space="preserve">"
</t>
    </r>
    <r>
      <rPr>
        <rFont val="Calibri"/>
        <color rgb="FF1155CC"/>
        <sz val="6.0"/>
        <u/>
      </rPr>
      <t xml:space="preserve">https://www.licitacoes-e.com.br/aop/index.jsp?codSite=7546&amp;url=www.compras.salvador.ba.gov.br
</t>
    </r>
    <r>
      <rPr>
        <rFont val="Calibri"/>
        <color theme="1"/>
        <sz val="6.0"/>
      </rPr>
      <t xml:space="preserve">http://www.compras.salvador.ba.gov.br/novo/?secao=licitacao&amp;lipr=001/2021&amp;molp=5&amp;orga=7175 </t>
    </r>
  </si>
  <si>
    <r>
      <rPr>
        <rFont val="Calibri"/>
        <color theme="1"/>
        <sz val="6.0"/>
      </rPr>
      <t>Pregão Eletrônico 001/2021 - Nº Processo: 110537/2021 - SEMIT Salvador
(Acompanhamento de licitações &gt; Concluídas &gt; Homologada &gt; Pesquisar "Contact Center ou 001</t>
    </r>
    <r>
      <rPr>
        <rFont val="Calibri"/>
        <color rgb="FF000000"/>
        <sz val="6.0"/>
      </rPr>
      <t xml:space="preserve">"
</t>
    </r>
    <r>
      <rPr>
        <rFont val="Calibri"/>
        <color rgb="FF1155CC"/>
        <sz val="6.0"/>
        <u/>
      </rPr>
      <t xml:space="preserve">https://www.licitacoes-e.com.br/aop/index.jsp?codSite=7546&amp;url=www.compras.salvador.ba.gov.br
</t>
    </r>
    <r>
      <rPr>
        <rFont val="Calibri"/>
        <color theme="1"/>
        <sz val="6.0"/>
      </rPr>
      <t xml:space="preserve">http://www.compras.salvador.ba.gov.br/novo/?secao=licitacao&amp;lipr=001/2021&amp;molp=5&amp;orga=7175 </t>
    </r>
  </si>
  <si>
    <r>
      <rPr>
        <rFont val="Calibri"/>
        <color theme="1"/>
        <sz val="6.0"/>
      </rPr>
      <t>Pregão Eletrônico 001/2021 - Nº Processo: 110537/2021 - SEMIT Salvador
(Acompanhamento de licitações &gt; Concluídas &gt; Homologada &gt; Pesquisar "Contact Center ou 001</t>
    </r>
    <r>
      <rPr>
        <rFont val="Calibri"/>
        <color rgb="FF000000"/>
        <sz val="6.0"/>
      </rPr>
      <t xml:space="preserve">"
</t>
    </r>
    <r>
      <rPr>
        <rFont val="Calibri"/>
        <color rgb="FF1155CC"/>
        <sz val="6.0"/>
        <u/>
      </rPr>
      <t xml:space="preserve">https://www.licitacoes-e.com.br/aop/index.jsp?codSite=7546&amp;url=www.compras.salvador.ba.gov.br
</t>
    </r>
    <r>
      <rPr>
        <rFont val="Calibri"/>
        <color theme="1"/>
        <sz val="6.0"/>
      </rPr>
      <t xml:space="preserve">http://www.compras.salvador.ba.gov.br/novo/?secao=licitacao&amp;lipr=001/2021&amp;molp=5&amp;orga=7175 </t>
    </r>
  </si>
  <si>
    <r>
      <rPr>
        <rFont val="Calibri"/>
        <color theme="1"/>
        <sz val="6.0"/>
      </rPr>
      <t>Nº Pregão: 7042021 - UASG: 986001 - Prefeitura Municipal do Rio de Janeiro</t>
    </r>
    <r>
      <rPr>
        <rFont val="Calibri"/>
        <color rgb="FF000000"/>
        <sz val="6.0"/>
      </rPr>
      <t xml:space="preserve">
</t>
    </r>
    <r>
      <rPr>
        <rFont val="Calibri"/>
        <color rgb="FF1155CC"/>
        <sz val="6.0"/>
        <u/>
      </rPr>
      <t>http://comprasnet.gov.br/livre/pregao/ata2.asp?co_no_uasg=986001&amp;numprp=7042021&amp;f_lstSrp=&amp;f_Uf=&amp;f_numPrp=7042021&amp;f_codUasg=986001&amp;f_tpPregao=E&amp;f_lstICMS=&amp;f_dtAberturaIni=&amp;f_dtAberturaFim=</t>
    </r>
  </si>
  <si>
    <r>
      <rPr>
        <rFont val="Calibri"/>
        <color theme="1"/>
        <sz val="6.0"/>
      </rPr>
      <t>Pregão Eletrônico 31/SMIT/2021 - Processo  6023.2019/0003628-4 - OC 801018801002021OC00043
 - BEC/SP</t>
    </r>
    <r>
      <rPr>
        <rFont val="Calibri"/>
        <color rgb="FF000000"/>
        <sz val="6.0"/>
      </rPr>
      <t xml:space="preserve">
</t>
    </r>
    <r>
      <rPr>
        <rFont val="Calibri"/>
        <color rgb="FF1155CC"/>
        <sz val="6.0"/>
        <u/>
      </rPr>
      <t>https://www.bec.sp.gov.br/bec_pregao_UI/Ata/becprp17001.aspx?mj3jEe9lfF5uVtKXsfroIQ5%2flYpaGarv9MnRlpU4jRW2QaLCu%2bSOVXbYP%2fJqw%2bBc</t>
    </r>
  </si>
  <si>
    <t>E-mail</t>
  </si>
  <si>
    <t>Chat</t>
  </si>
  <si>
    <t>Redes Social</t>
  </si>
  <si>
    <t>Atendimento humano receptivo online</t>
  </si>
  <si>
    <t>VAchat</t>
  </si>
  <si>
    <t>Atendimento ativo de mensagens de texto para celular "Short Message Service" - SMS</t>
  </si>
  <si>
    <r>
      <rPr>
        <rFont val="Calibri"/>
        <color theme="1"/>
        <sz val="6.0"/>
      </rPr>
      <t>Pregão Eletrônico 31/SMIT/2021 - Processo  6023.2019/0003628-4 - OC 801018801002021OC00043
 - BEC/SP</t>
    </r>
    <r>
      <rPr>
        <rFont val="Calibri"/>
        <color rgb="FF000000"/>
        <sz val="6.0"/>
      </rPr>
      <t xml:space="preserve">
</t>
    </r>
    <r>
      <rPr>
        <rFont val="Calibri"/>
        <color rgb="FF1155CC"/>
        <sz val="6.0"/>
        <u/>
      </rPr>
      <t>https://www.bec.sp.gov.br/bec_pregao_UI/Ata/becprp17001.aspx?mj3jEe9lfF5uVtKXsfroIQ5%2flYpaGarv9MnRlpU4jRW2QaLCu%2bSOVXbYP%2fJqw%2bBc</t>
    </r>
  </si>
  <si>
    <t>VASMS</t>
  </si>
  <si>
    <t>Orçamento</t>
  </si>
  <si>
    <t>Descrição</t>
  </si>
  <si>
    <t>Unidade de medida</t>
  </si>
  <si>
    <t>Valor de referência unitário (R$)</t>
  </si>
  <si>
    <t>Quantidade total anual</t>
  </si>
  <si>
    <t>Valor de referência anual (R$)</t>
  </si>
  <si>
    <t>Quantidade total 30 meses</t>
  </si>
  <si>
    <t>Valor estimado da contratação (R$)</t>
  </si>
  <si>
    <t>USA</t>
  </si>
  <si>
    <t>Desenvolvimento, Implantação, Operação e Manutenção da Solução de Atendimento da CentralDF</t>
  </si>
  <si>
    <t>Horas de serviço</t>
  </si>
  <si>
    <t>-</t>
  </si>
  <si>
    <t>Planejamento, Gestão e Melhoria da Performance de Atendimento e Execução</t>
  </si>
  <si>
    <t>TOTAL</t>
  </si>
  <si>
    <t>Mensal</t>
  </si>
  <si>
    <t>Anual</t>
  </si>
  <si>
    <t>30 meses</t>
  </si>
  <si>
    <t>350 mil USA - Cenário mínimo</t>
  </si>
  <si>
    <t>500 mil USA - Cenário mediano</t>
  </si>
  <si>
    <t>700 mil USA - Estado da arte</t>
  </si>
  <si>
    <t>Média Cenário mediano e Estado da arte</t>
  </si>
  <si>
    <t>CONTRATO DE PRESTAÇÃO DE SERVIÇOS Nº 40295/2019-SEEC, nos
termos do Padrão nº 04/2002.</t>
  </si>
  <si>
    <t>Quantidade mensal</t>
  </si>
  <si>
    <t>Quantidade anual</t>
  </si>
  <si>
    <t>Proporção</t>
  </si>
  <si>
    <t>Valor válido</t>
  </si>
  <si>
    <t>Mediana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</si>
</sst>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.00_-;\-* #,##0.00_-;_-* &quot;-&quot;??_-;_-@"/>
    <numFmt numFmtId="165" formatCode="_-&quot;R$&quot;\ * #,##0.00_-;\-&quot;R$&quot;\ * #,##0.00_-;_-&quot;R$&quot;\ * &quot;-&quot;??_-;_-@"/>
    <numFmt numFmtId="166" formatCode="#,##0.00_ ;\-#,##0.00\ "/>
    <numFmt numFmtId="167" formatCode="#,##0_ ;\-#,##0\ "/>
  </numFmts>
  <fonts count="27">
    <font>
      <sz val="11.0"/>
      <color theme="1"/>
      <name val="Calibri"/>
      <scheme val="minor"/>
    </font>
    <font>
      <b/>
      <sz val="21.0"/>
      <color theme="1"/>
      <name val="Calibri"/>
    </font>
    <font/>
    <font>
      <sz val="11.0"/>
      <color theme="1"/>
      <name val="Calibri"/>
    </font>
    <font>
      <sz val="10.0"/>
      <color rgb="FF000000"/>
      <name val="Calibri"/>
    </font>
    <font>
      <b/>
      <sz val="11.0"/>
      <color theme="1"/>
      <name val="Calibri"/>
    </font>
    <font>
      <u/>
      <sz val="11.0"/>
      <color rgb="FF000000"/>
      <name val="Calibri"/>
    </font>
    <font>
      <b/>
      <sz val="9.0"/>
      <color theme="0"/>
      <name val="Open Sans"/>
    </font>
    <font>
      <b/>
      <sz val="9.0"/>
      <color rgb="FFFFFFFF"/>
      <name val="Open Sans"/>
    </font>
    <font>
      <b/>
      <sz val="9.0"/>
      <color theme="1"/>
      <name val="Open Sans"/>
    </font>
    <font>
      <sz val="9.0"/>
      <color theme="1"/>
      <name val="Open Sans"/>
    </font>
    <font>
      <b/>
      <sz val="11.0"/>
      <color theme="0"/>
      <name val="Calibri"/>
    </font>
    <font>
      <b/>
      <sz val="10.0"/>
      <color rgb="FFFFFFFF"/>
      <name val="&quot;Open Sans&quot;"/>
    </font>
    <font>
      <sz val="10.0"/>
      <color rgb="FF000000"/>
      <name val="&quot;Open Sans&quot;"/>
    </font>
    <font>
      <color theme="1"/>
      <name val="&quot;Open Sans&quot;"/>
    </font>
    <font>
      <sz val="8.0"/>
      <color theme="1"/>
      <name val="&quot;Open Sans&quot;"/>
    </font>
    <font>
      <b/>
      <sz val="10.0"/>
      <color rgb="FF000000"/>
      <name val="&quot;Open Sans&quot;"/>
    </font>
    <font>
      <sz val="10.0"/>
      <color rgb="FF000000"/>
      <name val="Open Sans"/>
    </font>
    <font>
      <b/>
      <sz val="11.0"/>
      <color rgb="FFF2F2F2"/>
      <name val="Calibri"/>
    </font>
    <font>
      <u/>
      <sz val="6.0"/>
      <color theme="1"/>
      <name val="Calibri"/>
    </font>
    <font>
      <sz val="6.0"/>
      <color theme="1"/>
      <name val="Calibri"/>
    </font>
    <font>
      <sz val="8.0"/>
      <color theme="1"/>
      <name val="Calibri"/>
    </font>
    <font>
      <b/>
      <sz val="10.0"/>
      <color rgb="FFF2F2F2"/>
      <name val="Open Sans"/>
    </font>
    <font>
      <sz val="10.0"/>
      <color theme="1"/>
      <name val="Open Sans"/>
    </font>
    <font>
      <b/>
      <sz val="10.0"/>
      <color rgb="FF000000"/>
      <name val="Open Sans"/>
    </font>
    <font>
      <b/>
      <sz val="10.0"/>
      <color theme="1"/>
      <name val="Open Sans"/>
    </font>
    <font>
      <b/>
      <sz val="8.0"/>
      <color theme="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rgb="FFF2F2F2"/>
      </patternFill>
    </fill>
    <fill>
      <patternFill patternType="solid">
        <fgColor rgb="FF4472C4"/>
        <bgColor rgb="FF4472C4"/>
      </patternFill>
    </fill>
    <fill>
      <patternFill patternType="solid">
        <fgColor rgb="FF002060"/>
        <bgColor rgb="FF002060"/>
      </patternFill>
    </fill>
    <fill>
      <patternFill patternType="solid">
        <fgColor rgb="FFB6D7A8"/>
        <bgColor rgb="FFB6D7A8"/>
      </patternFill>
    </fill>
    <fill>
      <patternFill patternType="solid">
        <fgColor rgb="FFDADADA"/>
        <bgColor rgb="FFDADADA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3" numFmtId="0" xfId="0" applyFont="1"/>
    <xf borderId="0" fillId="0" fontId="6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3" numFmtId="0" xfId="0" applyAlignment="1" applyFont="1">
      <alignment shrinkToFit="0" vertical="center" wrapText="1"/>
    </xf>
    <xf borderId="4" fillId="3" fontId="7" numFmtId="0" xfId="0" applyAlignment="1" applyBorder="1" applyFill="1" applyFont="1">
      <alignment horizontal="center" shrinkToFit="0" vertical="center" wrapText="1"/>
    </xf>
    <xf borderId="4" fillId="3" fontId="8" numFmtId="0" xfId="0" applyAlignment="1" applyBorder="1" applyFont="1">
      <alignment horizontal="center" readingOrder="0" shrinkToFit="0" vertical="center" wrapText="1"/>
    </xf>
    <xf borderId="4" fillId="4" fontId="9" numFmtId="0" xfId="0" applyAlignment="1" applyBorder="1" applyFill="1" applyFont="1">
      <alignment horizontal="left" vertical="center"/>
    </xf>
    <xf borderId="4" fillId="4" fontId="9" numFmtId="4" xfId="0" applyAlignment="1" applyBorder="1" applyFont="1" applyNumberFormat="1">
      <alignment horizontal="center" vertical="center"/>
    </xf>
    <xf borderId="4" fillId="4" fontId="10" numFmtId="0" xfId="0" applyAlignment="1" applyBorder="1" applyFont="1">
      <alignment horizontal="left" vertical="center"/>
    </xf>
    <xf borderId="4" fillId="4" fontId="10" numFmtId="4" xfId="0" applyAlignment="1" applyBorder="1" applyFont="1" applyNumberFormat="1">
      <alignment horizontal="center" readingOrder="0" vertical="center"/>
    </xf>
    <xf borderId="4" fillId="4" fontId="10" numFmtId="4" xfId="0" applyAlignment="1" applyBorder="1" applyFont="1" applyNumberFormat="1">
      <alignment horizontal="center" vertical="center"/>
    </xf>
    <xf borderId="0" fillId="0" fontId="3" numFmtId="164" xfId="0" applyFont="1" applyNumberFormat="1"/>
    <xf borderId="4" fillId="4" fontId="9" numFmtId="0" xfId="0" applyAlignment="1" applyBorder="1" applyFont="1">
      <alignment horizontal="left" readingOrder="0" vertical="center"/>
    </xf>
    <xf borderId="4" fillId="4" fontId="9" numFmtId="0" xfId="0" applyAlignment="1" applyBorder="1" applyFont="1">
      <alignment horizontal="center" vertical="center"/>
    </xf>
    <xf borderId="4" fillId="3" fontId="11" numFmtId="0" xfId="0" applyAlignment="1" applyBorder="1" applyFont="1">
      <alignment horizontal="center" shrinkToFit="0" vertical="center" wrapText="1"/>
    </xf>
    <xf borderId="4" fillId="4" fontId="3" numFmtId="0" xfId="0" applyAlignment="1" applyBorder="1" applyFont="1">
      <alignment horizontal="center" shrinkToFit="0" vertical="center" wrapText="1"/>
    </xf>
    <xf borderId="4" fillId="4" fontId="3" numFmtId="4" xfId="0" applyAlignment="1" applyBorder="1" applyFont="1" applyNumberFormat="1">
      <alignment horizontal="center" vertical="center"/>
    </xf>
    <xf borderId="1" fillId="4" fontId="5" numFmtId="2" xfId="0" applyAlignment="1" applyBorder="1" applyFont="1" applyNumberFormat="1">
      <alignment horizontal="right"/>
    </xf>
    <xf borderId="4" fillId="4" fontId="5" numFmtId="4" xfId="0" applyAlignment="1" applyBorder="1" applyFont="1" applyNumberFormat="1">
      <alignment horizontal="center" vertical="center"/>
    </xf>
    <xf borderId="4" fillId="4" fontId="5" numFmtId="4" xfId="0" applyAlignment="1" applyBorder="1" applyFont="1" applyNumberFormat="1">
      <alignment horizontal="center"/>
    </xf>
    <xf borderId="4" fillId="5" fontId="12" numFmtId="0" xfId="0" applyAlignment="1" applyBorder="1" applyFill="1" applyFont="1">
      <alignment horizontal="center" readingOrder="0" shrinkToFit="0" vertical="center" wrapText="1"/>
    </xf>
    <xf borderId="3" fillId="5" fontId="12" numFmtId="0" xfId="0" applyAlignment="1" applyBorder="1" applyFont="1">
      <alignment horizontal="center" readingOrder="0" shrinkToFit="0" vertical="center" wrapText="1"/>
    </xf>
    <xf borderId="5" fillId="4" fontId="13" numFmtId="0" xfId="0" applyAlignment="1" applyBorder="1" applyFont="1">
      <alignment horizontal="center" readingOrder="0" shrinkToFit="0" vertical="center" wrapText="1"/>
    </xf>
    <xf borderId="6" fillId="4" fontId="13" numFmtId="10" xfId="0" applyAlignment="1" applyBorder="1" applyFont="1" applyNumberFormat="1">
      <alignment horizontal="center" readingOrder="0" shrinkToFit="0" vertical="center" wrapText="1"/>
    </xf>
    <xf borderId="6" fillId="4" fontId="13" numFmtId="0" xfId="0" applyAlignment="1" applyBorder="1" applyFont="1">
      <alignment horizontal="center" readingOrder="0" shrinkToFit="0" vertical="center" wrapText="1"/>
    </xf>
    <xf borderId="7" fillId="4" fontId="13" numFmtId="0" xfId="0" applyAlignment="1" applyBorder="1" applyFont="1">
      <alignment horizontal="center" readingOrder="0" shrinkToFit="0" vertical="center" wrapText="1"/>
    </xf>
    <xf borderId="8" fillId="4" fontId="13" numFmtId="10" xfId="0" applyAlignment="1" applyBorder="1" applyFont="1" applyNumberFormat="1">
      <alignment horizontal="center" readingOrder="0" shrinkToFit="0" vertical="center" wrapText="1"/>
    </xf>
    <xf borderId="7" fillId="0" fontId="2" numFmtId="0" xfId="0" applyBorder="1" applyFont="1"/>
    <xf borderId="8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9" fillId="4" fontId="13" numFmtId="0" xfId="0" applyAlignment="1" applyBorder="1" applyFont="1">
      <alignment horizontal="center" readingOrder="0" shrinkToFit="0" vertical="center" wrapText="1"/>
    </xf>
    <xf borderId="10" fillId="0" fontId="2" numFmtId="0" xfId="0" applyBorder="1" applyFont="1"/>
    <xf borderId="4" fillId="4" fontId="5" numFmtId="10" xfId="0" applyAlignment="1" applyBorder="1" applyFont="1" applyNumberFormat="1">
      <alignment horizontal="center" vertical="center"/>
    </xf>
    <xf borderId="0" fillId="0" fontId="14" numFmtId="0" xfId="0" applyAlignment="1" applyFont="1">
      <alignment horizontal="left"/>
    </xf>
    <xf borderId="0" fillId="0" fontId="15" numFmtId="0" xfId="0" applyAlignment="1" applyFont="1">
      <alignment horizontal="left" readingOrder="0"/>
    </xf>
    <xf borderId="6" fillId="4" fontId="16" numFmtId="10" xfId="0" applyAlignment="1" applyBorder="1" applyFont="1" applyNumberForma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165" xfId="0" applyAlignment="1" applyFont="1" applyNumberFormat="1">
      <alignment horizontal="center" shrinkToFit="0" vertical="center" wrapText="1"/>
    </xf>
    <xf borderId="4" fillId="4" fontId="17" numFmtId="0" xfId="0" applyAlignment="1" applyBorder="1" applyFont="1">
      <alignment horizontal="center" readingOrder="0" shrinkToFit="0" vertical="center" wrapText="1"/>
    </xf>
    <xf borderId="4" fillId="6" fontId="18" numFmtId="0" xfId="0" applyAlignment="1" applyBorder="1" applyFill="1" applyFont="1">
      <alignment horizontal="center" shrinkToFit="0" vertical="center" wrapText="1"/>
    </xf>
    <xf borderId="11" fillId="6" fontId="18" numFmtId="0" xfId="0" applyAlignment="1" applyBorder="1" applyFont="1">
      <alignment horizontal="center" shrinkToFit="0" vertical="center" wrapText="1"/>
    </xf>
    <xf borderId="4" fillId="0" fontId="19" numFmtId="0" xfId="0" applyAlignment="1" applyBorder="1" applyFont="1">
      <alignment horizontal="center" readingOrder="0" shrinkToFit="0" vertical="center" wrapText="1"/>
    </xf>
    <xf borderId="4" fillId="0" fontId="20" numFmtId="0" xfId="0" applyAlignment="1" applyBorder="1" applyFont="1">
      <alignment horizontal="center" readingOrder="0" shrinkToFit="0" vertical="center" wrapText="1"/>
    </xf>
    <xf borderId="4" fillId="0" fontId="20" numFmtId="0" xfId="0" applyAlignment="1" applyBorder="1" applyFont="1">
      <alignment horizontal="center" shrinkToFit="0" vertical="center" wrapText="1"/>
    </xf>
    <xf borderId="4" fillId="0" fontId="21" numFmtId="3" xfId="0" applyAlignment="1" applyBorder="1" applyFont="1" applyNumberFormat="1">
      <alignment horizontal="center" readingOrder="0" shrinkToFit="0" vertical="center" wrapText="1"/>
    </xf>
    <xf borderId="4" fillId="4" fontId="17" numFmtId="0" xfId="0" applyAlignment="1" applyBorder="1" applyFont="1">
      <alignment horizontal="center" shrinkToFit="0" vertical="center" wrapText="1"/>
    </xf>
    <xf borderId="4" fillId="7" fontId="21" numFmtId="165" xfId="0" applyAlignment="1" applyBorder="1" applyFill="1" applyFont="1" applyNumberFormat="1">
      <alignment horizontal="center" readingOrder="0" shrinkToFit="0" vertical="center" wrapText="1"/>
    </xf>
    <xf borderId="4" fillId="0" fontId="21" numFmtId="165" xfId="0" applyAlignment="1" applyBorder="1" applyFont="1" applyNumberFormat="1">
      <alignment horizontal="center" readingOrder="0" shrinkToFit="0" vertical="center" wrapText="1"/>
    </xf>
    <xf borderId="4" fillId="0" fontId="21" numFmtId="165" xfId="0" applyAlignment="1" applyBorder="1" applyFont="1" applyNumberFormat="1">
      <alignment horizontal="center" shrinkToFit="0" vertical="center" wrapText="1"/>
    </xf>
    <xf borderId="4" fillId="0" fontId="3" numFmtId="165" xfId="0" applyAlignment="1" applyBorder="1" applyFont="1" applyNumberFormat="1">
      <alignment horizontal="center" shrinkToFit="0" vertical="center" wrapText="1"/>
    </xf>
    <xf borderId="4" fillId="8" fontId="3" numFmtId="165" xfId="0" applyAlignment="1" applyBorder="1" applyFill="1" applyFont="1" applyNumberFormat="1">
      <alignment horizontal="center" shrinkToFit="0" vertical="center" wrapText="1"/>
    </xf>
    <xf borderId="4" fillId="0" fontId="21" numFmtId="3" xfId="0" applyAlignment="1" applyBorder="1" applyFont="1" applyNumberFormat="1">
      <alignment horizontal="center" shrinkToFit="0" vertical="center" wrapText="1"/>
    </xf>
    <xf borderId="4" fillId="6" fontId="11" numFmtId="0" xfId="0" applyAlignment="1" applyBorder="1" applyFont="1">
      <alignment horizontal="center" shrinkToFit="0" vertical="center" wrapText="1"/>
    </xf>
    <xf borderId="4" fillId="0" fontId="20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vertical="center"/>
    </xf>
    <xf borderId="0" fillId="0" fontId="11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left" vertical="center"/>
    </xf>
    <xf borderId="0" fillId="0" fontId="5" numFmtId="165" xfId="0" applyAlignment="1" applyFont="1" applyNumberFormat="1">
      <alignment horizontal="left" vertical="center"/>
    </xf>
    <xf borderId="4" fillId="3" fontId="22" numFmtId="0" xfId="0" applyAlignment="1" applyBorder="1" applyFont="1">
      <alignment horizontal="center" vertical="center"/>
    </xf>
    <xf borderId="12" fillId="3" fontId="22" numFmtId="0" xfId="0" applyAlignment="1" applyBorder="1" applyFont="1">
      <alignment horizontal="center" shrinkToFit="0" vertical="center" wrapText="1"/>
    </xf>
    <xf borderId="4" fillId="4" fontId="23" numFmtId="0" xfId="0" applyAlignment="1" applyBorder="1" applyFont="1">
      <alignment horizontal="center" readingOrder="0" vertical="center"/>
    </xf>
    <xf borderId="4" fillId="4" fontId="23" numFmtId="166" xfId="0" applyAlignment="1" applyBorder="1" applyFont="1" applyNumberFormat="1">
      <alignment horizontal="center" vertical="center"/>
    </xf>
    <xf borderId="4" fillId="4" fontId="23" numFmtId="167" xfId="0" applyAlignment="1" applyBorder="1" applyFont="1" applyNumberFormat="1">
      <alignment horizontal="center" vertical="center"/>
    </xf>
    <xf borderId="4" fillId="4" fontId="23" numFmtId="0" xfId="0" applyAlignment="1" applyBorder="1" applyFont="1">
      <alignment horizontal="center" vertical="center"/>
    </xf>
    <xf borderId="4" fillId="4" fontId="23" numFmtId="9" xfId="0" applyAlignment="1" applyBorder="1" applyFont="1" applyNumberFormat="1">
      <alignment horizontal="center" vertical="center"/>
    </xf>
    <xf borderId="1" fillId="4" fontId="24" numFmtId="0" xfId="0" applyAlignment="1" applyBorder="1" applyFont="1">
      <alignment horizontal="right" shrinkToFit="0" vertical="center" wrapText="1"/>
    </xf>
    <xf borderId="4" fillId="4" fontId="25" numFmtId="166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horizontal="center" vertical="center"/>
    </xf>
    <xf borderId="4" fillId="0" fontId="5" numFmtId="0" xfId="0" applyAlignment="1" applyBorder="1" applyFont="1">
      <alignment horizontal="center" shrinkToFit="0" wrapText="1"/>
    </xf>
    <xf borderId="4" fillId="0" fontId="3" numFmtId="4" xfId="0" applyAlignment="1" applyBorder="1" applyFont="1" applyNumberFormat="1">
      <alignment horizontal="center"/>
    </xf>
    <xf borderId="4" fillId="0" fontId="3" numFmtId="4" xfId="0" applyAlignment="1" applyBorder="1" applyFont="1" applyNumberFormat="1">
      <alignment horizontal="center" vertical="center"/>
    </xf>
    <xf borderId="0" fillId="0" fontId="3" numFmtId="1" xfId="0" applyAlignment="1" applyFont="1" applyNumberFormat="1">
      <alignment horizontal="center" vertical="center"/>
    </xf>
    <xf borderId="4" fillId="0" fontId="5" numFmtId="0" xfId="0" applyAlignment="1" applyBorder="1" applyFont="1">
      <alignment horizontal="center"/>
    </xf>
    <xf borderId="0" fillId="0" fontId="3" numFmtId="166" xfId="0" applyAlignment="1" applyFont="1" applyNumberFormat="1">
      <alignment horizontal="center" vertical="center"/>
    </xf>
    <xf borderId="0" fillId="0" fontId="5" numFmtId="0" xfId="0" applyAlignment="1" applyFont="1">
      <alignment horizontal="center" readingOrder="0" vertical="center"/>
    </xf>
    <xf borderId="0" fillId="0" fontId="5" numFmtId="0" xfId="0" applyAlignment="1" applyFont="1">
      <alignment horizontal="center" readingOrder="0" shrinkToFit="0" vertical="center" wrapText="1"/>
    </xf>
    <xf borderId="1" fillId="3" fontId="22" numFmtId="0" xfId="0" applyAlignment="1" applyBorder="1" applyFont="1">
      <alignment horizontal="center" shrinkToFit="0" vertical="center" wrapText="1"/>
    </xf>
    <xf borderId="4" fillId="3" fontId="22" numFmtId="0" xfId="0" applyAlignment="1" applyBorder="1" applyFont="1">
      <alignment horizontal="center" shrinkToFit="0" vertical="center" wrapText="1"/>
    </xf>
    <xf borderId="12" fillId="3" fontId="22" numFmtId="0" xfId="0" applyAlignment="1" applyBorder="1" applyFont="1">
      <alignment horizontal="center" readingOrder="0" shrinkToFit="0" vertical="center" wrapText="1"/>
    </xf>
    <xf borderId="4" fillId="4" fontId="3" numFmtId="0" xfId="0" applyAlignment="1" applyBorder="1" applyFont="1">
      <alignment horizontal="center" readingOrder="0" shrinkToFit="0" vertical="center" wrapText="1"/>
    </xf>
    <xf borderId="4" fillId="4" fontId="3" numFmtId="10" xfId="0" applyAlignment="1" applyBorder="1" applyFont="1" applyNumberFormat="1">
      <alignment horizontal="center" readingOrder="0" shrinkToFit="0" vertical="center" wrapText="1"/>
    </xf>
    <xf borderId="4" fillId="4" fontId="3" numFmtId="1" xfId="0" applyAlignment="1" applyBorder="1" applyFont="1" applyNumberFormat="1">
      <alignment horizontal="center" readingOrder="0" shrinkToFit="0" vertical="center" wrapText="1"/>
    </xf>
    <xf borderId="4" fillId="4" fontId="5" numFmtId="0" xfId="0" applyAlignment="1" applyBorder="1" applyFont="1">
      <alignment horizontal="center" readingOrder="0" shrinkToFit="0" vertical="center" wrapText="1"/>
    </xf>
    <xf borderId="4" fillId="4" fontId="5" numFmtId="10" xfId="0" applyAlignment="1" applyBorder="1" applyFont="1" applyNumberFormat="1">
      <alignment horizontal="center" readingOrder="0" shrinkToFit="0" vertical="center" wrapText="1"/>
    </xf>
    <xf borderId="4" fillId="4" fontId="5" numFmtId="1" xfId="0" applyAlignment="1" applyBorder="1" applyFont="1" applyNumberFormat="1">
      <alignment horizontal="center" readingOrder="0" shrinkToFit="0" vertical="center" wrapText="1"/>
    </xf>
    <xf borderId="12" fillId="6" fontId="26" numFmtId="0" xfId="0" applyAlignment="1" applyBorder="1" applyFont="1">
      <alignment horizontal="center" shrinkToFit="0" vertical="center" wrapText="1"/>
    </xf>
    <xf borderId="4" fillId="6" fontId="26" numFmtId="0" xfId="0" applyAlignment="1" applyBorder="1" applyFont="1">
      <alignment horizontal="center" shrinkToFit="0" vertical="center" wrapText="1"/>
    </xf>
    <xf borderId="4" fillId="0" fontId="21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Taxa de Administração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 w="28575">
              <a:solidFill>
                <a:srgbClr val="4472C4">
                  <a:alpha val="100000"/>
                </a:srgbClr>
              </a:solidFill>
            </a:ln>
          </c:spPr>
          <c:marker>
            <c:symbol val="none"/>
          </c:marker>
          <c:dPt>
            <c:idx val="0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6"/>
            <c:marker>
              <c:symbol val="none"/>
            </c:marker>
          </c:dPt>
          <c:dLbls>
            <c:dLbl>
              <c:idx val="0"/>
              <c:numFmt formatCode="General" sourceLinked="1"/>
              <c:txPr>
                <a:bodyPr/>
                <a:lstStyle/>
                <a:p>
                  <a:pPr lvl="0">
                    <a:defRPr b="0" i="0" sz="800">
                      <a:solidFill>
                        <a:srgbClr val="000000"/>
                      </a:solidFill>
                      <a:latin typeface="+mn-lt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General" sourceLinked="1"/>
              <c:txPr>
                <a:bodyPr/>
                <a:lstStyle/>
                <a:p>
                  <a:pPr lvl="0">
                    <a:defRPr b="0" i="0" sz="800">
                      <a:solidFill>
                        <a:srgbClr val="000000"/>
                      </a:solidFill>
                      <a:latin typeface="+mn-lt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General" sourceLinked="1"/>
              <c:txPr>
                <a:bodyPr/>
                <a:lstStyle/>
                <a:p>
                  <a:pPr lvl="0">
                    <a:defRPr b="0" i="0" sz="800">
                      <a:solidFill>
                        <a:srgbClr val="000000"/>
                      </a:solidFill>
                      <a:latin typeface="+mn-lt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/>
              <a:lstStyle/>
              <a:p>
                <a:pPr lvl="0">
                  <a:defRPr b="0" i="0" sz="8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'Gráfico'!$A$2:$A$8</c:f>
            </c:strRef>
          </c:cat>
          <c:val>
            <c:numRef>
              <c:f>'Gráfico'!$B$2:$B$8</c:f>
              <c:numCache/>
            </c:numRef>
          </c:val>
          <c:smooth val="0"/>
        </c:ser>
        <c:axId val="2052746183"/>
        <c:axId val="977841621"/>
      </c:lineChart>
      <c:catAx>
        <c:axId val="20527461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977841621"/>
      </c:catAx>
      <c:valAx>
        <c:axId val="97784162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2052746183"/>
        <c:majorUnit val="6.0"/>
      </c:valAx>
    </c:plotArea>
    <c:plotVisOnly val="1"/>
  </c:chart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600075</xdr:colOff>
      <xdr:row>1</xdr:row>
      <xdr:rowOff>9525</xdr:rowOff>
    </xdr:from>
    <xdr:ext cx="4629150" cy="1771650"/>
    <xdr:graphicFrame>
      <xdr:nvGraphicFramePr>
        <xdr:cNvPr id="175704584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glassdoor.com.br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icitacoes-e.com.br/aop/consultar-detalhes-licitacao.aop" TargetMode="External"/><Relationship Id="rId2" Type="http://schemas.openxmlformats.org/officeDocument/2006/relationships/hyperlink" Target="http://comprasnet.gov.br/livre/pregao/ata2.asp?co_no_uasg=986001&amp;numprp=7042021&amp;f_lstSrp=&amp;f_Uf=&amp;f_numPrp=7042021&amp;f_codUasg=986001&amp;f_tpPregao=E&amp;f_lstICMS=&amp;f_dtAberturaIni=&amp;f_dtAberturaFim=" TargetMode="External"/><Relationship Id="rId3" Type="http://schemas.openxmlformats.org/officeDocument/2006/relationships/hyperlink" Target="http://comprasnet.gov.br/livre/pregao/ata2.asp?co_no_uasg=986001&amp;numprp=7042021&amp;f_lstSrp=&amp;f_Uf=&amp;f_numPrp=7042021&amp;f_codUasg=986001&amp;f_tpPregao=E&amp;f_lstICMS=&amp;f_dtAberturaIni=&amp;f_dtAberturaFim=" TargetMode="External"/><Relationship Id="rId4" Type="http://schemas.openxmlformats.org/officeDocument/2006/relationships/hyperlink" Target="https://www.bec.sp.gov.br/bec_pregao_UI/Ata/becprp17001.aspx?mj3jEe9lfF5uVtKXsfroIQ5%2flYpaGarv9MnRlpU4jRW2QaLCu%2bSOVXbYP%2fJqw%2bBc" TargetMode="External"/><Relationship Id="rId11" Type="http://schemas.openxmlformats.org/officeDocument/2006/relationships/hyperlink" Target="https://www.bec.sp.gov.br/bec_pregao_UI/Ata/becprp17001.aspx?mj3jEe9lfF5uVtKXsfroIQ5%2flYpaGarv9MnRlpU4jRW2QaLCu%2bSOVXbYP%2fJqw%2bBc" TargetMode="External"/><Relationship Id="rId10" Type="http://schemas.openxmlformats.org/officeDocument/2006/relationships/hyperlink" Target="https://www.bec.sp.gov.br/bec_pregao_UI/Ata/becprp17001.aspx?mj3jEe9lfF5uVtKXsfroIQ5%2flYpaGarv9MnRlpU4jRW2QaLCu%2bSOVXbYP%2fJqw%2bBc" TargetMode="External"/><Relationship Id="rId12" Type="http://schemas.openxmlformats.org/officeDocument/2006/relationships/drawing" Target="../drawings/drawing2.xml"/><Relationship Id="rId9" Type="http://schemas.openxmlformats.org/officeDocument/2006/relationships/hyperlink" Target="http://comprasnet.gov.br/livre/pregao/ata2.asp?co_no_uasg=986001&amp;numprp=7042021&amp;f_lstSrp=&amp;f_Uf=&amp;f_numPrp=7042021&amp;f_codUasg=986001&amp;f_tpPregao=E&amp;f_lstICMS=&amp;f_dtAberturaIni=&amp;f_dtAberturaFim=" TargetMode="External"/><Relationship Id="rId5" Type="http://schemas.openxmlformats.org/officeDocument/2006/relationships/hyperlink" Target="https://www.bec.sp.gov.br/bec_pregao_UI/Ata/becprp17001.aspx?mj3jEe9lfF5uVtKXsfroIQ5%2flYpaGarv9MnRlpU4jRW2QaLCu%2bSOVXbYP%2fJqw%2bBc" TargetMode="External"/><Relationship Id="rId6" Type="http://schemas.openxmlformats.org/officeDocument/2006/relationships/hyperlink" Target="https://www.licitacoes-e.com.br/aop/consultar-detalhes-licitacao.aop" TargetMode="External"/><Relationship Id="rId7" Type="http://schemas.openxmlformats.org/officeDocument/2006/relationships/hyperlink" Target="https://www.licitacoes-e.com.br/aop/consultar-detalhes-licitacao.aop" TargetMode="External"/><Relationship Id="rId8" Type="http://schemas.openxmlformats.org/officeDocument/2006/relationships/hyperlink" Target="https://www.licitacoes-e.com.br/aop/consultar-detalhes-licitacao.aop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6.43"/>
    <col customWidth="1" min="2" max="2" width="35.57"/>
    <col customWidth="1" min="3" max="3" width="15.71"/>
    <col customWidth="1" min="4" max="4" width="16.86"/>
    <col customWidth="1" min="5" max="11" width="15.71"/>
    <col customWidth="1" min="12" max="12" width="43.14"/>
    <col customWidth="1" min="13" max="13" width="11.29"/>
    <col customWidth="1" min="14" max="26" width="8.71"/>
  </cols>
  <sheetData>
    <row r="1" ht="30.0" customHeight="1">
      <c r="A1" s="1" t="s">
        <v>0</v>
      </c>
      <c r="B1" s="2"/>
      <c r="C1" s="2"/>
      <c r="D1" s="2"/>
      <c r="E1" s="2"/>
      <c r="F1" s="2"/>
      <c r="G1" s="2"/>
      <c r="H1" s="3"/>
    </row>
    <row r="2">
      <c r="A2" s="4"/>
      <c r="B2" s="5"/>
      <c r="C2" s="5"/>
      <c r="D2" s="6"/>
      <c r="E2" s="4"/>
      <c r="F2" s="4"/>
      <c r="G2" s="4"/>
      <c r="H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7" t="s">
        <v>1</v>
      </c>
      <c r="B3" s="5"/>
      <c r="C3" s="5"/>
      <c r="D3" s="6"/>
      <c r="E3" s="4"/>
      <c r="F3" s="4"/>
      <c r="G3" s="4"/>
      <c r="H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4" t="s">
        <v>2</v>
      </c>
      <c r="B4" s="5"/>
      <c r="C4" s="5"/>
      <c r="D4" s="6"/>
      <c r="E4" s="4"/>
      <c r="F4" s="4"/>
      <c r="G4" s="4"/>
      <c r="H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4" t="s">
        <v>3</v>
      </c>
      <c r="B5" s="5"/>
      <c r="C5" s="5"/>
      <c r="D5" s="4"/>
      <c r="E5" s="4"/>
      <c r="F5" s="4"/>
      <c r="G5" s="4"/>
      <c r="H5" s="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4" t="s">
        <v>4</v>
      </c>
      <c r="B6" s="5"/>
      <c r="C6" s="5"/>
      <c r="D6" s="5"/>
      <c r="E6" s="4"/>
      <c r="F6" s="4"/>
      <c r="G6" s="4"/>
      <c r="H6" s="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4" t="s">
        <v>5</v>
      </c>
      <c r="B7" s="4"/>
      <c r="C7" s="4"/>
      <c r="D7" s="4"/>
      <c r="E7" s="4"/>
      <c r="F7" s="4"/>
      <c r="G7" s="4"/>
      <c r="H7" s="4"/>
    </row>
    <row r="8">
      <c r="A8" s="4" t="s">
        <v>2</v>
      </c>
      <c r="B8" s="9" t="s">
        <v>6</v>
      </c>
      <c r="C8" s="10"/>
      <c r="D8" s="11"/>
      <c r="E8" s="11"/>
      <c r="F8" s="11"/>
      <c r="G8" s="11"/>
      <c r="H8" s="4"/>
    </row>
    <row r="9">
      <c r="A9" s="4" t="s">
        <v>7</v>
      </c>
      <c r="B9" s="4"/>
      <c r="C9" s="11"/>
      <c r="D9" s="11"/>
      <c r="E9" s="11"/>
      <c r="F9" s="11"/>
      <c r="G9" s="11"/>
      <c r="H9" s="4"/>
    </row>
    <row r="10">
      <c r="A10" s="4"/>
      <c r="B10" s="4"/>
      <c r="C10" s="4"/>
      <c r="D10" s="4"/>
      <c r="E10" s="4"/>
      <c r="F10" s="4"/>
      <c r="G10" s="4"/>
      <c r="H10" s="4"/>
    </row>
    <row r="11">
      <c r="A11" s="12" t="s">
        <v>8</v>
      </c>
      <c r="B11" s="13" t="s">
        <v>9</v>
      </c>
      <c r="C11" s="13" t="s">
        <v>10</v>
      </c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15</v>
      </c>
      <c r="I11" s="12" t="s">
        <v>16</v>
      </c>
      <c r="J11" s="12" t="s">
        <v>17</v>
      </c>
    </row>
    <row r="12">
      <c r="A12" s="14" t="s">
        <v>18</v>
      </c>
      <c r="B12" s="15">
        <f t="shared" ref="B12:J12" si="1">SUM(B13:B15)</f>
        <v>10266.256</v>
      </c>
      <c r="C12" s="15">
        <f t="shared" si="1"/>
        <v>13668.34213</v>
      </c>
      <c r="D12" s="15">
        <f t="shared" si="1"/>
        <v>12190.62347</v>
      </c>
      <c r="E12" s="15">
        <f t="shared" si="1"/>
        <v>10329.5868</v>
      </c>
      <c r="F12" s="15">
        <f t="shared" si="1"/>
        <v>6666.4</v>
      </c>
      <c r="G12" s="15">
        <f t="shared" si="1"/>
        <v>10329.5868</v>
      </c>
      <c r="H12" s="15">
        <f t="shared" si="1"/>
        <v>6666.4</v>
      </c>
      <c r="I12" s="15">
        <f t="shared" si="1"/>
        <v>10329.5868</v>
      </c>
      <c r="J12" s="15">
        <f t="shared" si="1"/>
        <v>6666.4</v>
      </c>
    </row>
    <row r="13">
      <c r="A13" s="16" t="s">
        <v>19</v>
      </c>
      <c r="B13" s="17">
        <v>9240.0</v>
      </c>
      <c r="C13" s="17">
        <v>12302.0</v>
      </c>
      <c r="D13" s="17">
        <v>10972.0</v>
      </c>
      <c r="E13" s="17">
        <v>9297.0</v>
      </c>
      <c r="F13" s="17">
        <v>6000.0</v>
      </c>
      <c r="G13" s="17">
        <v>9297.0</v>
      </c>
      <c r="H13" s="17">
        <v>6000.0</v>
      </c>
      <c r="I13" s="17">
        <v>9297.0</v>
      </c>
      <c r="J13" s="17">
        <v>6000.0</v>
      </c>
    </row>
    <row r="14">
      <c r="A14" s="16" t="s">
        <v>20</v>
      </c>
      <c r="B14" s="18">
        <f t="shared" ref="B14:J14" si="2">B13*8.33%</f>
        <v>769.692</v>
      </c>
      <c r="C14" s="18">
        <f t="shared" si="2"/>
        <v>1024.7566</v>
      </c>
      <c r="D14" s="18">
        <f t="shared" si="2"/>
        <v>913.9676</v>
      </c>
      <c r="E14" s="18">
        <f t="shared" si="2"/>
        <v>774.4401</v>
      </c>
      <c r="F14" s="18">
        <f t="shared" si="2"/>
        <v>499.8</v>
      </c>
      <c r="G14" s="18">
        <f t="shared" si="2"/>
        <v>774.4401</v>
      </c>
      <c r="H14" s="18">
        <f t="shared" si="2"/>
        <v>499.8</v>
      </c>
      <c r="I14" s="18">
        <f t="shared" si="2"/>
        <v>774.4401</v>
      </c>
      <c r="J14" s="18">
        <f t="shared" si="2"/>
        <v>499.8</v>
      </c>
      <c r="M14" s="19"/>
    </row>
    <row r="15">
      <c r="A15" s="16" t="s">
        <v>21</v>
      </c>
      <c r="B15" s="18">
        <f t="shared" ref="B15:J15" si="3">B14/3</f>
        <v>256.564</v>
      </c>
      <c r="C15" s="18">
        <f t="shared" si="3"/>
        <v>341.5855333</v>
      </c>
      <c r="D15" s="18">
        <f t="shared" si="3"/>
        <v>304.6558667</v>
      </c>
      <c r="E15" s="18">
        <f t="shared" si="3"/>
        <v>258.1467</v>
      </c>
      <c r="F15" s="18">
        <f t="shared" si="3"/>
        <v>166.6</v>
      </c>
      <c r="G15" s="18">
        <f t="shared" si="3"/>
        <v>258.1467</v>
      </c>
      <c r="H15" s="18">
        <f t="shared" si="3"/>
        <v>166.6</v>
      </c>
      <c r="I15" s="18">
        <f t="shared" si="3"/>
        <v>258.1467</v>
      </c>
      <c r="J15" s="18">
        <f t="shared" si="3"/>
        <v>166.6</v>
      </c>
      <c r="M15" s="19"/>
    </row>
    <row r="16">
      <c r="A16" s="14" t="s">
        <v>22</v>
      </c>
      <c r="B16" s="15">
        <f t="shared" ref="B16:J16" si="4">SUM(B17:B20)</f>
        <v>3777.982208</v>
      </c>
      <c r="C16" s="15">
        <f t="shared" si="4"/>
        <v>5029.949905</v>
      </c>
      <c r="D16" s="15">
        <f t="shared" si="4"/>
        <v>4486.149436</v>
      </c>
      <c r="E16" s="15">
        <f t="shared" si="4"/>
        <v>3801.287942</v>
      </c>
      <c r="F16" s="15">
        <f t="shared" si="4"/>
        <v>2453.2352</v>
      </c>
      <c r="G16" s="15">
        <f t="shared" si="4"/>
        <v>3801.287942</v>
      </c>
      <c r="H16" s="15">
        <f t="shared" si="4"/>
        <v>2453.2352</v>
      </c>
      <c r="I16" s="15">
        <f t="shared" si="4"/>
        <v>3801.287942</v>
      </c>
      <c r="J16" s="15">
        <f t="shared" si="4"/>
        <v>2453.2352</v>
      </c>
      <c r="M16" s="19"/>
    </row>
    <row r="17">
      <c r="A17" s="16" t="s">
        <v>23</v>
      </c>
      <c r="B17" s="18">
        <f t="shared" ref="B17:J17" si="5">B12*20%</f>
        <v>2053.2512</v>
      </c>
      <c r="C17" s="18">
        <f t="shared" si="5"/>
        <v>2733.668427</v>
      </c>
      <c r="D17" s="18">
        <f t="shared" si="5"/>
        <v>2438.124693</v>
      </c>
      <c r="E17" s="18">
        <f t="shared" si="5"/>
        <v>2065.91736</v>
      </c>
      <c r="F17" s="18">
        <f t="shared" si="5"/>
        <v>1333.28</v>
      </c>
      <c r="G17" s="18">
        <f t="shared" si="5"/>
        <v>2065.91736</v>
      </c>
      <c r="H17" s="18">
        <f t="shared" si="5"/>
        <v>1333.28</v>
      </c>
      <c r="I17" s="18">
        <f t="shared" si="5"/>
        <v>2065.91736</v>
      </c>
      <c r="J17" s="18">
        <f t="shared" si="5"/>
        <v>1333.28</v>
      </c>
      <c r="M17" s="19"/>
    </row>
    <row r="18">
      <c r="A18" s="16" t="s">
        <v>24</v>
      </c>
      <c r="B18" s="18">
        <f t="shared" ref="B18:J18" si="6">B$12*8%</f>
        <v>821.30048</v>
      </c>
      <c r="C18" s="18">
        <f t="shared" si="6"/>
        <v>1093.467371</v>
      </c>
      <c r="D18" s="18">
        <f t="shared" si="6"/>
        <v>975.2498773</v>
      </c>
      <c r="E18" s="18">
        <f t="shared" si="6"/>
        <v>826.366944</v>
      </c>
      <c r="F18" s="18">
        <f t="shared" si="6"/>
        <v>533.312</v>
      </c>
      <c r="G18" s="18">
        <f t="shared" si="6"/>
        <v>826.366944</v>
      </c>
      <c r="H18" s="18">
        <f t="shared" si="6"/>
        <v>533.312</v>
      </c>
      <c r="I18" s="18">
        <f t="shared" si="6"/>
        <v>826.366944</v>
      </c>
      <c r="J18" s="18">
        <f t="shared" si="6"/>
        <v>533.312</v>
      </c>
      <c r="M18" s="19"/>
    </row>
    <row r="19">
      <c r="A19" s="16" t="s">
        <v>25</v>
      </c>
      <c r="B19" s="18">
        <f t="shared" ref="B19:J19" si="7">B$12*5.8%</f>
        <v>595.442848</v>
      </c>
      <c r="C19" s="18">
        <f t="shared" si="7"/>
        <v>792.7638437</v>
      </c>
      <c r="D19" s="18">
        <f t="shared" si="7"/>
        <v>707.0561611</v>
      </c>
      <c r="E19" s="18">
        <f t="shared" si="7"/>
        <v>599.1160344</v>
      </c>
      <c r="F19" s="18">
        <f t="shared" si="7"/>
        <v>386.6512</v>
      </c>
      <c r="G19" s="18">
        <f t="shared" si="7"/>
        <v>599.1160344</v>
      </c>
      <c r="H19" s="18">
        <f t="shared" si="7"/>
        <v>386.6512</v>
      </c>
      <c r="I19" s="18">
        <f t="shared" si="7"/>
        <v>599.1160344</v>
      </c>
      <c r="J19" s="18">
        <f t="shared" si="7"/>
        <v>386.6512</v>
      </c>
      <c r="M19" s="19"/>
    </row>
    <row r="20">
      <c r="A20" s="16" t="s">
        <v>26</v>
      </c>
      <c r="B20" s="18">
        <f t="shared" ref="B20:J20" si="8">B$12*3%</f>
        <v>307.98768</v>
      </c>
      <c r="C20" s="18">
        <f t="shared" si="8"/>
        <v>410.050264</v>
      </c>
      <c r="D20" s="18">
        <f t="shared" si="8"/>
        <v>365.718704</v>
      </c>
      <c r="E20" s="18">
        <f t="shared" si="8"/>
        <v>309.887604</v>
      </c>
      <c r="F20" s="18">
        <f t="shared" si="8"/>
        <v>199.992</v>
      </c>
      <c r="G20" s="18">
        <f t="shared" si="8"/>
        <v>309.887604</v>
      </c>
      <c r="H20" s="18">
        <f t="shared" si="8"/>
        <v>199.992</v>
      </c>
      <c r="I20" s="18">
        <f t="shared" si="8"/>
        <v>309.887604</v>
      </c>
      <c r="J20" s="18">
        <f t="shared" si="8"/>
        <v>199.992</v>
      </c>
      <c r="M20" s="19"/>
    </row>
    <row r="21" ht="15.75" customHeight="1">
      <c r="A21" s="14" t="s">
        <v>27</v>
      </c>
      <c r="B21" s="15">
        <f t="shared" ref="B21:J21" si="9">SUM(B22)</f>
        <v>0</v>
      </c>
      <c r="C21" s="15">
        <f t="shared" si="9"/>
        <v>-508.11</v>
      </c>
      <c r="D21" s="15">
        <f t="shared" si="9"/>
        <v>-428.31</v>
      </c>
      <c r="E21" s="15">
        <f t="shared" si="9"/>
        <v>-327.81</v>
      </c>
      <c r="F21" s="15">
        <f t="shared" si="9"/>
        <v>-129.99</v>
      </c>
      <c r="G21" s="15">
        <f t="shared" si="9"/>
        <v>-327.81</v>
      </c>
      <c r="H21" s="15">
        <f t="shared" si="9"/>
        <v>-129.99</v>
      </c>
      <c r="I21" s="15">
        <f t="shared" si="9"/>
        <v>-327.81</v>
      </c>
      <c r="J21" s="15">
        <f t="shared" si="9"/>
        <v>-129.99</v>
      </c>
      <c r="M21" s="19"/>
    </row>
    <row r="22" ht="15.75" customHeight="1">
      <c r="A22" s="16" t="s">
        <v>28</v>
      </c>
      <c r="B22" s="18">
        <v>0.0</v>
      </c>
      <c r="C22" s="18">
        <f t="shared" ref="C22:J22" si="10">11*20.91-6%*C13</f>
        <v>-508.11</v>
      </c>
      <c r="D22" s="18">
        <f t="shared" si="10"/>
        <v>-428.31</v>
      </c>
      <c r="E22" s="18">
        <f t="shared" si="10"/>
        <v>-327.81</v>
      </c>
      <c r="F22" s="18">
        <f t="shared" si="10"/>
        <v>-129.99</v>
      </c>
      <c r="G22" s="18">
        <f t="shared" si="10"/>
        <v>-327.81</v>
      </c>
      <c r="H22" s="18">
        <f t="shared" si="10"/>
        <v>-129.99</v>
      </c>
      <c r="I22" s="18">
        <f t="shared" si="10"/>
        <v>-327.81</v>
      </c>
      <c r="J22" s="18">
        <f t="shared" si="10"/>
        <v>-129.99</v>
      </c>
      <c r="M22" s="19"/>
    </row>
    <row r="23" ht="15.75" customHeight="1">
      <c r="A23" s="14" t="s">
        <v>29</v>
      </c>
      <c r="B23" s="15">
        <f t="shared" ref="B23:J23" si="11">SUM(B24)</f>
        <v>206.967721</v>
      </c>
      <c r="C23" s="15">
        <f t="shared" si="11"/>
        <v>275.5537774</v>
      </c>
      <c r="D23" s="15">
        <f t="shared" si="11"/>
        <v>245.7629691</v>
      </c>
      <c r="E23" s="15">
        <f t="shared" si="11"/>
        <v>208.2444699</v>
      </c>
      <c r="F23" s="15">
        <f t="shared" si="11"/>
        <v>134.394624</v>
      </c>
      <c r="G23" s="15">
        <f t="shared" si="11"/>
        <v>208.2444699</v>
      </c>
      <c r="H23" s="15">
        <f t="shared" si="11"/>
        <v>134.394624</v>
      </c>
      <c r="I23" s="15">
        <f t="shared" si="11"/>
        <v>208.2444699</v>
      </c>
      <c r="J23" s="15">
        <f t="shared" si="11"/>
        <v>134.394624</v>
      </c>
    </row>
    <row r="24" ht="15.75" customHeight="1">
      <c r="A24" s="16" t="s">
        <v>30</v>
      </c>
      <c r="B24" s="18">
        <f t="shared" ref="B24:J24" si="12">63%*40%*B18</f>
        <v>206.967721</v>
      </c>
      <c r="C24" s="18">
        <f t="shared" si="12"/>
        <v>275.5537774</v>
      </c>
      <c r="D24" s="18">
        <f t="shared" si="12"/>
        <v>245.7629691</v>
      </c>
      <c r="E24" s="18">
        <f t="shared" si="12"/>
        <v>208.2444699</v>
      </c>
      <c r="F24" s="18">
        <f t="shared" si="12"/>
        <v>134.394624</v>
      </c>
      <c r="G24" s="18">
        <f t="shared" si="12"/>
        <v>208.2444699</v>
      </c>
      <c r="H24" s="18">
        <f t="shared" si="12"/>
        <v>134.394624</v>
      </c>
      <c r="I24" s="18">
        <f t="shared" si="12"/>
        <v>208.2444699</v>
      </c>
      <c r="J24" s="18">
        <f t="shared" si="12"/>
        <v>134.394624</v>
      </c>
    </row>
    <row r="25" ht="15.75" customHeight="1">
      <c r="A25" s="20" t="s">
        <v>31</v>
      </c>
      <c r="B25" s="15">
        <f t="shared" ref="B25:J25" si="13">$D$50*(B12+B16+B21+B23)</f>
        <v>4746.158596</v>
      </c>
      <c r="C25" s="15">
        <f t="shared" si="13"/>
        <v>6149.74699</v>
      </c>
      <c r="D25" s="15">
        <f t="shared" si="13"/>
        <v>5493.164038</v>
      </c>
      <c r="E25" s="15">
        <f t="shared" si="13"/>
        <v>4666.264454</v>
      </c>
      <c r="F25" s="15">
        <f t="shared" si="13"/>
        <v>3038.629871</v>
      </c>
      <c r="G25" s="15">
        <f t="shared" si="13"/>
        <v>4666.264454</v>
      </c>
      <c r="H25" s="15">
        <f t="shared" si="13"/>
        <v>3038.629871</v>
      </c>
      <c r="I25" s="15">
        <f t="shared" si="13"/>
        <v>4666.264454</v>
      </c>
      <c r="J25" s="15">
        <f t="shared" si="13"/>
        <v>3038.629871</v>
      </c>
    </row>
    <row r="26" ht="15.75" customHeight="1">
      <c r="A26" s="21" t="s">
        <v>32</v>
      </c>
      <c r="B26" s="15">
        <f t="shared" ref="B26:J26" si="14">B12+B16+B21+B23+B25</f>
        <v>18997.36452</v>
      </c>
      <c r="C26" s="15">
        <f t="shared" si="14"/>
        <v>24615.48281</v>
      </c>
      <c r="D26" s="15">
        <f t="shared" si="14"/>
        <v>21987.38991</v>
      </c>
      <c r="E26" s="15">
        <f t="shared" si="14"/>
        <v>18677.57367</v>
      </c>
      <c r="F26" s="15">
        <f t="shared" si="14"/>
        <v>12162.6697</v>
      </c>
      <c r="G26" s="15">
        <f t="shared" si="14"/>
        <v>18677.57367</v>
      </c>
      <c r="H26" s="15">
        <f t="shared" si="14"/>
        <v>12162.6697</v>
      </c>
      <c r="I26" s="15">
        <f t="shared" si="14"/>
        <v>18677.57367</v>
      </c>
      <c r="J26" s="15">
        <f t="shared" si="14"/>
        <v>12162.6697</v>
      </c>
    </row>
    <row r="27" ht="15.75" customHeight="1">
      <c r="A27" s="21" t="s">
        <v>33</v>
      </c>
      <c r="B27" s="15">
        <f t="shared" ref="B27:J27" si="15">B26/191.4</f>
        <v>99.25477808</v>
      </c>
      <c r="C27" s="15">
        <f t="shared" si="15"/>
        <v>128.6075382</v>
      </c>
      <c r="D27" s="15">
        <f t="shared" si="15"/>
        <v>114.8766453</v>
      </c>
      <c r="E27" s="15">
        <f t="shared" si="15"/>
        <v>97.58397945</v>
      </c>
      <c r="F27" s="15">
        <f t="shared" si="15"/>
        <v>63.54581868</v>
      </c>
      <c r="G27" s="15">
        <f t="shared" si="15"/>
        <v>97.58397945</v>
      </c>
      <c r="H27" s="15">
        <f t="shared" si="15"/>
        <v>63.54581868</v>
      </c>
      <c r="I27" s="15">
        <f t="shared" si="15"/>
        <v>97.58397945</v>
      </c>
      <c r="J27" s="15">
        <f t="shared" si="15"/>
        <v>63.54581868</v>
      </c>
    </row>
    <row r="28" ht="15.75" customHeight="1">
      <c r="A28" s="4"/>
      <c r="B28" s="4"/>
      <c r="C28" s="4"/>
      <c r="D28" s="4"/>
      <c r="E28" s="4"/>
      <c r="F28" s="4"/>
      <c r="G28" s="4"/>
      <c r="H28" s="4"/>
    </row>
    <row r="29" ht="15.75" customHeight="1">
      <c r="A29" s="4"/>
      <c r="B29" s="4"/>
      <c r="C29" s="4"/>
      <c r="D29" s="4"/>
      <c r="E29" s="4"/>
      <c r="F29" s="4"/>
      <c r="G29" s="4"/>
      <c r="H29" s="4"/>
    </row>
    <row r="30" ht="15.75" customHeight="1">
      <c r="A30" s="22" t="s">
        <v>34</v>
      </c>
      <c r="B30" s="22" t="s">
        <v>35</v>
      </c>
      <c r="C30" s="22" t="s">
        <v>36</v>
      </c>
      <c r="D30" s="22" t="s">
        <v>37</v>
      </c>
      <c r="E30" s="4"/>
      <c r="F30" s="4"/>
      <c r="G30" s="4"/>
      <c r="H30" s="4"/>
    </row>
    <row r="31" ht="15.75" customHeight="1">
      <c r="A31" s="23" t="s">
        <v>9</v>
      </c>
      <c r="B31" s="24">
        <f>B27</f>
        <v>99.25477808</v>
      </c>
      <c r="C31" s="24">
        <v>3798.0</v>
      </c>
      <c r="D31" s="24">
        <f t="shared" ref="D31:D39" si="16">B31*C31</f>
        <v>376969.6472</v>
      </c>
      <c r="E31" s="4"/>
      <c r="F31" s="4"/>
      <c r="G31" s="4"/>
      <c r="H31" s="4"/>
    </row>
    <row r="32" ht="15.75" customHeight="1">
      <c r="A32" s="23" t="s">
        <v>10</v>
      </c>
      <c r="B32" s="24">
        <f>C27</f>
        <v>128.6075382</v>
      </c>
      <c r="C32" s="24">
        <v>5280.0</v>
      </c>
      <c r="D32" s="24">
        <f t="shared" si="16"/>
        <v>679047.8016</v>
      </c>
      <c r="E32" s="4"/>
      <c r="F32" s="4"/>
      <c r="G32" s="4"/>
      <c r="H32" s="4"/>
    </row>
    <row r="33" ht="15.75" customHeight="1">
      <c r="A33" s="23" t="s">
        <v>11</v>
      </c>
      <c r="B33" s="24">
        <f>D27</f>
        <v>114.8766453</v>
      </c>
      <c r="C33" s="24">
        <v>5280.0</v>
      </c>
      <c r="D33" s="24">
        <f t="shared" si="16"/>
        <v>606548.6871</v>
      </c>
      <c r="E33" s="4"/>
      <c r="F33" s="4"/>
      <c r="G33" s="4"/>
      <c r="H33" s="4"/>
    </row>
    <row r="34" ht="15.75" customHeight="1">
      <c r="A34" s="23" t="s">
        <v>12</v>
      </c>
      <c r="B34" s="24">
        <f>E27</f>
        <v>97.58397945</v>
      </c>
      <c r="C34" s="24">
        <v>5280.0</v>
      </c>
      <c r="D34" s="24">
        <f t="shared" si="16"/>
        <v>515243.4115</v>
      </c>
      <c r="E34" s="4"/>
      <c r="F34" s="4"/>
      <c r="G34" s="4"/>
      <c r="H34" s="4"/>
    </row>
    <row r="35" ht="15.75" customHeight="1">
      <c r="A35" s="23" t="s">
        <v>13</v>
      </c>
      <c r="B35" s="24">
        <f>F27</f>
        <v>63.54581868</v>
      </c>
      <c r="C35" s="24">
        <v>10560.0</v>
      </c>
      <c r="D35" s="24">
        <f t="shared" si="16"/>
        <v>671043.8453</v>
      </c>
      <c r="E35" s="4"/>
      <c r="F35" s="4"/>
      <c r="G35" s="4"/>
      <c r="H35" s="4"/>
    </row>
    <row r="36" ht="15.75" customHeight="1">
      <c r="A36" s="23" t="s">
        <v>14</v>
      </c>
      <c r="B36" s="24">
        <f>G27</f>
        <v>97.58397945</v>
      </c>
      <c r="C36" s="24">
        <v>5280.0</v>
      </c>
      <c r="D36" s="24">
        <f t="shared" si="16"/>
        <v>515243.4115</v>
      </c>
      <c r="E36" s="4"/>
      <c r="F36" s="4"/>
      <c r="G36" s="4"/>
      <c r="H36" s="4"/>
    </row>
    <row r="37" ht="15.75" customHeight="1">
      <c r="A37" s="23" t="s">
        <v>15</v>
      </c>
      <c r="B37" s="24">
        <f>H27</f>
        <v>63.54581868</v>
      </c>
      <c r="C37" s="24">
        <v>5280.0</v>
      </c>
      <c r="D37" s="24">
        <f t="shared" si="16"/>
        <v>335521.9226</v>
      </c>
      <c r="E37" s="4"/>
      <c r="F37" s="4"/>
      <c r="G37" s="4"/>
      <c r="H37" s="4"/>
    </row>
    <row r="38" ht="15.75" customHeight="1">
      <c r="A38" s="23" t="s">
        <v>16</v>
      </c>
      <c r="B38" s="24">
        <f>I27</f>
        <v>97.58397945</v>
      </c>
      <c r="C38" s="24">
        <v>5280.0</v>
      </c>
      <c r="D38" s="24">
        <f t="shared" si="16"/>
        <v>515243.4115</v>
      </c>
      <c r="E38" s="4"/>
      <c r="F38" s="4"/>
      <c r="G38" s="4"/>
      <c r="H38" s="4"/>
    </row>
    <row r="39" ht="15.75" customHeight="1">
      <c r="A39" s="23" t="s">
        <v>17</v>
      </c>
      <c r="B39" s="24">
        <f>J27</f>
        <v>63.54581868</v>
      </c>
      <c r="C39" s="24">
        <v>5280.0</v>
      </c>
      <c r="D39" s="24">
        <f t="shared" si="16"/>
        <v>335521.9226</v>
      </c>
      <c r="E39" s="4"/>
      <c r="F39" s="4"/>
      <c r="G39" s="4"/>
      <c r="H39" s="4"/>
    </row>
    <row r="40" ht="15.75" customHeight="1">
      <c r="A40" s="25" t="s">
        <v>32</v>
      </c>
      <c r="B40" s="3"/>
      <c r="C40" s="26">
        <f t="shared" ref="C40:D40" si="17">SUM(C31:C39)</f>
        <v>51318</v>
      </c>
      <c r="D40" s="26">
        <f t="shared" si="17"/>
        <v>4550384.061</v>
      </c>
      <c r="E40" s="4"/>
      <c r="F40" s="4"/>
      <c r="G40" s="4"/>
      <c r="H40" s="4"/>
    </row>
    <row r="41" ht="15.75" customHeight="1">
      <c r="A41" s="25" t="s">
        <v>38</v>
      </c>
      <c r="B41" s="2"/>
      <c r="C41" s="3"/>
      <c r="D41" s="27">
        <f>D40/C40</f>
        <v>88.67033128</v>
      </c>
      <c r="E41" s="4"/>
      <c r="F41" s="4"/>
      <c r="G41" s="4"/>
      <c r="H41" s="4"/>
    </row>
    <row r="42" ht="15.75" customHeight="1">
      <c r="A42" s="4"/>
      <c r="B42" s="4"/>
      <c r="C42" s="4"/>
      <c r="D42" s="4"/>
      <c r="E42" s="4"/>
      <c r="F42" s="4"/>
      <c r="G42" s="4"/>
      <c r="H42" s="4"/>
    </row>
    <row r="43" ht="15.75" customHeight="1">
      <c r="A43" s="4"/>
      <c r="B43" s="4"/>
      <c r="C43" s="4"/>
      <c r="D43" s="4"/>
      <c r="E43" s="4"/>
      <c r="F43" s="4"/>
      <c r="G43" s="4"/>
      <c r="H43" s="4"/>
    </row>
    <row r="44" ht="15.75" customHeight="1">
      <c r="A44" s="28" t="s">
        <v>39</v>
      </c>
      <c r="B44" s="29" t="s">
        <v>32</v>
      </c>
      <c r="C44" s="29" t="s">
        <v>40</v>
      </c>
      <c r="D44" s="29" t="s">
        <v>41</v>
      </c>
      <c r="E44" s="4"/>
      <c r="F44" s="4"/>
      <c r="G44" s="4"/>
      <c r="H44" s="4"/>
    </row>
    <row r="45" ht="15.75" customHeight="1">
      <c r="A45" s="30" t="s">
        <v>42</v>
      </c>
      <c r="B45" s="31">
        <v>0.1488</v>
      </c>
      <c r="C45" s="32" t="s">
        <v>42</v>
      </c>
      <c r="D45" s="31">
        <f>$B$58</f>
        <v>0.1488</v>
      </c>
      <c r="E45" s="4"/>
      <c r="F45" s="4"/>
      <c r="G45" s="4"/>
      <c r="H45" s="4"/>
    </row>
    <row r="46" ht="15.75" customHeight="1">
      <c r="A46" s="30" t="s">
        <v>43</v>
      </c>
      <c r="B46" s="31">
        <v>0.06</v>
      </c>
      <c r="C46" s="32" t="s">
        <v>43</v>
      </c>
      <c r="D46" s="31">
        <f>$C$58</f>
        <v>0.06</v>
      </c>
      <c r="E46" s="4"/>
      <c r="F46" s="4"/>
      <c r="G46" s="4"/>
      <c r="H46" s="4"/>
    </row>
    <row r="47" ht="15.75" customHeight="1">
      <c r="A47" s="33" t="s">
        <v>44</v>
      </c>
      <c r="B47" s="34">
        <v>0.1425</v>
      </c>
      <c r="C47" s="32" t="s">
        <v>45</v>
      </c>
      <c r="D47" s="31">
        <v>0.0065</v>
      </c>
      <c r="E47" s="4"/>
      <c r="F47" s="4"/>
      <c r="G47" s="4"/>
      <c r="H47" s="4"/>
    </row>
    <row r="48" ht="15.75" customHeight="1">
      <c r="A48" s="35"/>
      <c r="B48" s="36"/>
      <c r="C48" s="32" t="s">
        <v>46</v>
      </c>
      <c r="D48" s="31">
        <v>0.03</v>
      </c>
      <c r="E48" s="4"/>
      <c r="F48" s="4"/>
      <c r="G48" s="4"/>
      <c r="H48" s="4"/>
    </row>
    <row r="49" ht="15.75" customHeight="1">
      <c r="A49" s="37"/>
      <c r="B49" s="38"/>
      <c r="C49" s="32" t="s">
        <v>47</v>
      </c>
      <c r="D49" s="31">
        <v>0.05</v>
      </c>
      <c r="E49" s="4"/>
      <c r="F49" s="4"/>
      <c r="G49" s="4"/>
      <c r="H49" s="4"/>
    </row>
    <row r="50" ht="15.75" customHeight="1">
      <c r="A50" s="39" t="s">
        <v>48</v>
      </c>
      <c r="B50" s="40"/>
      <c r="C50" s="38"/>
      <c r="D50" s="41">
        <f>(((1+D45)*(1+D46))/(1-SUM(D47:D49)))-1</f>
        <v>0.3330355774</v>
      </c>
      <c r="E50" s="4"/>
      <c r="F50" s="4"/>
      <c r="G50" s="4"/>
      <c r="H50" s="4"/>
    </row>
    <row r="51" ht="15.75" customHeight="1">
      <c r="A51" s="42"/>
      <c r="B51" s="4"/>
      <c r="C51" s="4"/>
      <c r="D51" s="4"/>
      <c r="E51" s="4"/>
      <c r="F51" s="4"/>
      <c r="G51" s="4"/>
      <c r="H51" s="4"/>
    </row>
    <row r="52" ht="15.75" customHeight="1">
      <c r="A52" s="43"/>
      <c r="B52" s="4"/>
      <c r="C52" s="4"/>
      <c r="D52" s="4"/>
      <c r="E52" s="4"/>
      <c r="F52" s="4"/>
      <c r="G52" s="4"/>
      <c r="H52" s="4"/>
    </row>
    <row r="53" ht="15.75" customHeight="1">
      <c r="A53" s="4"/>
      <c r="B53" s="4"/>
      <c r="C53" s="4"/>
      <c r="D53" s="4"/>
      <c r="E53" s="4"/>
      <c r="F53" s="4"/>
      <c r="G53" s="4"/>
      <c r="H53" s="4"/>
    </row>
    <row r="54" ht="15.75" customHeight="1">
      <c r="A54" s="4"/>
      <c r="B54" s="29" t="s">
        <v>42</v>
      </c>
      <c r="C54" s="29" t="s">
        <v>43</v>
      </c>
      <c r="D54" s="4"/>
      <c r="E54" s="4"/>
      <c r="F54" s="4"/>
      <c r="G54" s="4"/>
      <c r="H54" s="4"/>
    </row>
    <row r="55" ht="15.75" customHeight="1">
      <c r="A55" s="29" t="s">
        <v>49</v>
      </c>
      <c r="B55" s="32" t="s">
        <v>50</v>
      </c>
      <c r="C55" s="32" t="s">
        <v>50</v>
      </c>
      <c r="D55" s="4"/>
      <c r="E55" s="4"/>
      <c r="F55" s="4"/>
      <c r="G55" s="4"/>
      <c r="H55" s="4"/>
    </row>
    <row r="56" ht="15.75" customHeight="1">
      <c r="A56" s="29" t="s">
        <v>51</v>
      </c>
      <c r="B56" s="32" t="s">
        <v>50</v>
      </c>
      <c r="C56" s="32" t="s">
        <v>50</v>
      </c>
      <c r="D56" s="4"/>
      <c r="E56" s="4"/>
      <c r="F56" s="4"/>
      <c r="G56" s="4"/>
      <c r="H56" s="4"/>
    </row>
    <row r="57" ht="15.75" customHeight="1">
      <c r="A57" s="29" t="s">
        <v>52</v>
      </c>
      <c r="B57" s="31">
        <v>0.1488</v>
      </c>
      <c r="C57" s="31">
        <v>0.06</v>
      </c>
      <c r="D57" s="4"/>
      <c r="E57" s="4"/>
      <c r="F57" s="4"/>
      <c r="G57" s="4"/>
      <c r="H57" s="4"/>
    </row>
    <row r="58" ht="15.75" customHeight="1">
      <c r="A58" s="29" t="s">
        <v>53</v>
      </c>
      <c r="B58" s="44">
        <f t="shared" ref="B58:C58" si="18">AVERAGE(B55:B57)</f>
        <v>0.1488</v>
      </c>
      <c r="C58" s="44">
        <f t="shared" si="18"/>
        <v>0.06</v>
      </c>
      <c r="D58" s="4"/>
      <c r="E58" s="4"/>
      <c r="F58" s="4"/>
      <c r="G58" s="4"/>
      <c r="H58" s="4"/>
    </row>
    <row r="59" ht="15.75" customHeight="1">
      <c r="A59" s="4"/>
      <c r="B59" s="4"/>
      <c r="C59" s="4"/>
      <c r="D59" s="4"/>
      <c r="E59" s="4"/>
      <c r="F59" s="4"/>
      <c r="G59" s="4"/>
      <c r="H59" s="4"/>
    </row>
    <row r="60" ht="15.75" customHeight="1">
      <c r="A60" s="4"/>
      <c r="B60" s="4"/>
      <c r="C60" s="4"/>
      <c r="D60" s="4"/>
      <c r="E60" s="4"/>
      <c r="F60" s="4"/>
      <c r="G60" s="4"/>
      <c r="H60" s="4"/>
    </row>
    <row r="61" ht="15.75" customHeight="1">
      <c r="A61" s="4"/>
      <c r="B61" s="4"/>
      <c r="C61" s="4"/>
      <c r="D61" s="4"/>
      <c r="E61" s="4"/>
      <c r="F61" s="4"/>
      <c r="G61" s="4"/>
      <c r="H61" s="4"/>
    </row>
    <row r="62" ht="15.75" customHeight="1">
      <c r="A62" s="4"/>
      <c r="B62" s="4"/>
      <c r="C62" s="4"/>
      <c r="D62" s="4"/>
      <c r="E62" s="4"/>
      <c r="F62" s="4"/>
      <c r="G62" s="4"/>
      <c r="H62" s="4"/>
    </row>
    <row r="63" ht="15.75" customHeight="1">
      <c r="A63" s="4"/>
      <c r="B63" s="4"/>
      <c r="C63" s="4"/>
      <c r="D63" s="4"/>
      <c r="E63" s="4"/>
      <c r="F63" s="4"/>
      <c r="G63" s="4"/>
      <c r="H63" s="4"/>
    </row>
    <row r="64" ht="15.75" customHeight="1">
      <c r="A64" s="4"/>
      <c r="B64" s="4"/>
      <c r="C64" s="4"/>
      <c r="D64" s="4"/>
      <c r="E64" s="4"/>
      <c r="F64" s="4"/>
      <c r="G64" s="4"/>
      <c r="H64" s="4"/>
    </row>
    <row r="65" ht="15.75" customHeight="1">
      <c r="A65" s="4"/>
      <c r="B65" s="4"/>
      <c r="C65" s="4"/>
      <c r="D65" s="4"/>
      <c r="E65" s="4"/>
      <c r="F65" s="4"/>
      <c r="G65" s="4"/>
      <c r="H65" s="4"/>
    </row>
    <row r="66" ht="15.75" customHeight="1">
      <c r="A66" s="4"/>
      <c r="B66" s="4"/>
      <c r="C66" s="4"/>
      <c r="D66" s="4"/>
      <c r="E66" s="4"/>
      <c r="F66" s="4"/>
      <c r="G66" s="4"/>
      <c r="H66" s="4"/>
    </row>
    <row r="67" ht="15.75" customHeight="1">
      <c r="A67" s="4"/>
      <c r="B67" s="4"/>
      <c r="C67" s="4"/>
      <c r="D67" s="4"/>
      <c r="E67" s="4"/>
      <c r="F67" s="4"/>
      <c r="G67" s="4"/>
      <c r="H67" s="4"/>
    </row>
    <row r="68" ht="15.75" customHeight="1">
      <c r="A68" s="4"/>
      <c r="B68" s="4"/>
      <c r="C68" s="4"/>
      <c r="D68" s="4"/>
      <c r="E68" s="4"/>
      <c r="F68" s="4"/>
      <c r="G68" s="4"/>
      <c r="H68" s="4"/>
    </row>
    <row r="69" ht="15.75" customHeight="1">
      <c r="A69" s="4"/>
      <c r="B69" s="4"/>
      <c r="C69" s="4"/>
      <c r="D69" s="4"/>
      <c r="E69" s="4"/>
      <c r="F69" s="4"/>
      <c r="G69" s="4"/>
      <c r="H69" s="4"/>
    </row>
    <row r="70" ht="15.75" customHeight="1">
      <c r="A70" s="4"/>
      <c r="B70" s="4"/>
      <c r="C70" s="4"/>
      <c r="D70" s="4"/>
      <c r="E70" s="4"/>
      <c r="F70" s="4"/>
      <c r="G70" s="4"/>
      <c r="H70" s="4"/>
    </row>
    <row r="71" ht="15.75" customHeight="1">
      <c r="A71" s="4"/>
      <c r="B71" s="4"/>
      <c r="C71" s="4"/>
      <c r="D71" s="4"/>
      <c r="E71" s="4"/>
      <c r="F71" s="4"/>
      <c r="G71" s="4"/>
      <c r="H71" s="4"/>
    </row>
    <row r="72" ht="15.75" customHeight="1">
      <c r="A72" s="4"/>
      <c r="B72" s="4"/>
      <c r="C72" s="4"/>
      <c r="D72" s="4"/>
      <c r="E72" s="4"/>
      <c r="F72" s="4"/>
      <c r="G72" s="4"/>
      <c r="H72" s="4"/>
    </row>
    <row r="73" ht="15.75" customHeight="1">
      <c r="A73" s="4"/>
      <c r="B73" s="4"/>
      <c r="C73" s="4"/>
      <c r="D73" s="4"/>
      <c r="E73" s="4"/>
      <c r="F73" s="4"/>
      <c r="G73" s="4"/>
      <c r="H73" s="4"/>
    </row>
    <row r="74" ht="15.75" customHeight="1">
      <c r="A74" s="4"/>
      <c r="B74" s="4"/>
      <c r="C74" s="4"/>
      <c r="D74" s="4"/>
      <c r="E74" s="4"/>
      <c r="F74" s="4"/>
      <c r="G74" s="4"/>
      <c r="H74" s="4"/>
    </row>
    <row r="75" ht="15.75" customHeight="1">
      <c r="A75" s="4"/>
      <c r="B75" s="4"/>
      <c r="C75" s="4"/>
      <c r="D75" s="4"/>
      <c r="E75" s="4"/>
      <c r="F75" s="4"/>
      <c r="G75" s="4"/>
      <c r="H75" s="4"/>
    </row>
    <row r="76" ht="15.75" customHeight="1">
      <c r="A76" s="4"/>
      <c r="B76" s="4"/>
      <c r="C76" s="4"/>
      <c r="D76" s="4"/>
      <c r="E76" s="4"/>
      <c r="F76" s="4"/>
      <c r="G76" s="4"/>
      <c r="H76" s="4"/>
    </row>
    <row r="77" ht="15.75" customHeight="1">
      <c r="A77" s="4"/>
      <c r="B77" s="4"/>
      <c r="C77" s="4"/>
      <c r="D77" s="4"/>
      <c r="E77" s="4"/>
      <c r="F77" s="4"/>
      <c r="G77" s="4"/>
      <c r="H77" s="4"/>
    </row>
    <row r="78" ht="15.75" customHeight="1">
      <c r="A78" s="4"/>
      <c r="B78" s="4"/>
      <c r="C78" s="4"/>
      <c r="D78" s="4"/>
      <c r="E78" s="4"/>
      <c r="F78" s="4"/>
      <c r="G78" s="4"/>
      <c r="H78" s="4"/>
    </row>
    <row r="79" ht="15.75" customHeight="1">
      <c r="A79" s="4"/>
      <c r="B79" s="4"/>
      <c r="C79" s="4"/>
      <c r="D79" s="4"/>
      <c r="E79" s="4"/>
      <c r="F79" s="4"/>
      <c r="G79" s="4"/>
      <c r="H79" s="4"/>
    </row>
    <row r="80" ht="15.75" customHeight="1">
      <c r="A80" s="4"/>
      <c r="B80" s="4"/>
      <c r="C80" s="4"/>
      <c r="D80" s="4"/>
      <c r="E80" s="4"/>
      <c r="F80" s="4"/>
      <c r="G80" s="4"/>
      <c r="H80" s="4"/>
    </row>
    <row r="81" ht="15.75" customHeight="1">
      <c r="A81" s="4"/>
      <c r="B81" s="4"/>
      <c r="C81" s="4"/>
      <c r="D81" s="4"/>
      <c r="E81" s="4"/>
      <c r="F81" s="4"/>
      <c r="G81" s="4"/>
      <c r="H81" s="4"/>
    </row>
    <row r="82" ht="15.75" customHeight="1">
      <c r="A82" s="4"/>
      <c r="B82" s="4"/>
      <c r="C82" s="4"/>
      <c r="D82" s="4"/>
      <c r="E82" s="4"/>
      <c r="F82" s="4"/>
      <c r="G82" s="4"/>
      <c r="H82" s="4"/>
    </row>
    <row r="83" ht="15.75" customHeight="1">
      <c r="A83" s="4"/>
      <c r="B83" s="4"/>
      <c r="C83" s="4"/>
      <c r="D83" s="4"/>
      <c r="E83" s="4"/>
      <c r="F83" s="4"/>
      <c r="G83" s="4"/>
      <c r="H83" s="4"/>
    </row>
    <row r="84" ht="15.75" customHeight="1">
      <c r="A84" s="4"/>
      <c r="B84" s="4"/>
      <c r="C84" s="4"/>
      <c r="D84" s="4"/>
      <c r="E84" s="4"/>
      <c r="F84" s="4"/>
      <c r="G84" s="4"/>
      <c r="H84" s="4"/>
    </row>
    <row r="85" ht="15.75" customHeight="1">
      <c r="A85" s="4"/>
      <c r="B85" s="4"/>
      <c r="C85" s="4"/>
      <c r="D85" s="4"/>
      <c r="E85" s="4"/>
      <c r="F85" s="4"/>
      <c r="G85" s="4"/>
      <c r="H85" s="4"/>
    </row>
    <row r="86" ht="15.75" customHeight="1">
      <c r="A86" s="4"/>
      <c r="B86" s="4"/>
      <c r="C86" s="4"/>
      <c r="D86" s="4"/>
      <c r="E86" s="4"/>
      <c r="F86" s="4"/>
      <c r="G86" s="4"/>
      <c r="H86" s="4"/>
    </row>
    <row r="87" ht="15.75" customHeight="1">
      <c r="A87" s="4"/>
      <c r="B87" s="4"/>
      <c r="C87" s="4"/>
      <c r="D87" s="4"/>
      <c r="E87" s="4"/>
      <c r="F87" s="4"/>
      <c r="G87" s="4"/>
      <c r="H87" s="4"/>
    </row>
    <row r="88" ht="15.75" customHeight="1">
      <c r="A88" s="4"/>
      <c r="B88" s="4"/>
      <c r="C88" s="4"/>
      <c r="D88" s="4"/>
      <c r="E88" s="4"/>
      <c r="F88" s="4"/>
      <c r="G88" s="4"/>
      <c r="H88" s="4"/>
    </row>
    <row r="89" ht="15.75" customHeight="1">
      <c r="A89" s="4"/>
      <c r="B89" s="4"/>
      <c r="C89" s="4"/>
      <c r="D89" s="4"/>
      <c r="E89" s="4"/>
      <c r="F89" s="4"/>
      <c r="G89" s="4"/>
      <c r="H89" s="4"/>
    </row>
    <row r="90" ht="15.75" customHeight="1">
      <c r="A90" s="4"/>
      <c r="B90" s="4"/>
      <c r="C90" s="4"/>
      <c r="D90" s="4"/>
      <c r="E90" s="4"/>
      <c r="F90" s="4"/>
      <c r="G90" s="4"/>
      <c r="H90" s="4"/>
    </row>
    <row r="91" ht="15.75" customHeight="1">
      <c r="A91" s="4"/>
      <c r="B91" s="4"/>
      <c r="C91" s="4"/>
      <c r="D91" s="4"/>
      <c r="E91" s="4"/>
      <c r="F91" s="4"/>
      <c r="G91" s="4"/>
      <c r="H91" s="4"/>
    </row>
    <row r="92" ht="15.75" customHeight="1">
      <c r="A92" s="4"/>
      <c r="B92" s="4"/>
      <c r="C92" s="4"/>
      <c r="D92" s="4"/>
      <c r="E92" s="4"/>
      <c r="F92" s="4"/>
      <c r="G92" s="4"/>
      <c r="H92" s="4"/>
    </row>
    <row r="93" ht="15.75" customHeight="1">
      <c r="A93" s="4"/>
      <c r="B93" s="4"/>
      <c r="C93" s="4"/>
      <c r="D93" s="4"/>
      <c r="E93" s="4"/>
      <c r="F93" s="4"/>
      <c r="G93" s="4"/>
      <c r="H93" s="4"/>
    </row>
    <row r="94" ht="15.75" customHeight="1">
      <c r="A94" s="4"/>
      <c r="B94" s="4"/>
      <c r="C94" s="4"/>
      <c r="D94" s="4"/>
      <c r="E94" s="4"/>
      <c r="F94" s="4"/>
      <c r="G94" s="4"/>
      <c r="H94" s="4"/>
    </row>
    <row r="95" ht="15.75" customHeight="1">
      <c r="A95" s="4"/>
      <c r="B95" s="4"/>
      <c r="C95" s="4"/>
      <c r="D95" s="4"/>
      <c r="E95" s="4"/>
      <c r="F95" s="4"/>
      <c r="G95" s="4"/>
      <c r="H95" s="4"/>
    </row>
    <row r="96" ht="15.75" customHeight="1">
      <c r="A96" s="4"/>
      <c r="B96" s="4"/>
      <c r="C96" s="4"/>
      <c r="D96" s="4"/>
      <c r="E96" s="4"/>
      <c r="F96" s="4"/>
      <c r="G96" s="4"/>
      <c r="H96" s="4"/>
    </row>
    <row r="97" ht="15.75" customHeight="1">
      <c r="A97" s="4"/>
      <c r="B97" s="4"/>
      <c r="C97" s="4"/>
      <c r="D97" s="4"/>
      <c r="E97" s="4"/>
      <c r="F97" s="4"/>
      <c r="G97" s="4"/>
      <c r="H97" s="4"/>
    </row>
    <row r="98" ht="15.75" customHeight="1">
      <c r="A98" s="4"/>
      <c r="B98" s="4"/>
      <c r="C98" s="4"/>
      <c r="D98" s="4"/>
      <c r="E98" s="4"/>
      <c r="F98" s="4"/>
      <c r="G98" s="4"/>
      <c r="H98" s="4"/>
    </row>
    <row r="99" ht="15.75" customHeight="1">
      <c r="A99" s="4"/>
      <c r="B99" s="4"/>
      <c r="C99" s="4"/>
      <c r="D99" s="4"/>
      <c r="E99" s="4"/>
      <c r="F99" s="4"/>
      <c r="G99" s="4"/>
      <c r="H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</row>
  </sheetData>
  <mergeCells count="6">
    <mergeCell ref="A1:H1"/>
    <mergeCell ref="A40:B40"/>
    <mergeCell ref="A41:C41"/>
    <mergeCell ref="A47:A49"/>
    <mergeCell ref="B47:B49"/>
    <mergeCell ref="A50:C50"/>
  </mergeCells>
  <hyperlinks>
    <hyperlink r:id="rId1" ref="B8"/>
  </hyperlinks>
  <printOptions/>
  <pageMargins bottom="0.787401575" footer="0.0" header="0.0" left="0.511811024" right="0.511811024" top="0.7874015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8.57"/>
    <col customWidth="1" min="2" max="3" width="14.71"/>
    <col customWidth="1" min="4" max="4" width="14.14"/>
    <col customWidth="1" min="5" max="5" width="13.71"/>
    <col customWidth="1" min="6" max="8" width="13.86"/>
    <col customWidth="1" min="9" max="9" width="15.57"/>
    <col customWidth="1" min="10" max="10" width="14.14"/>
    <col customWidth="1" min="11" max="12" width="13.29"/>
    <col customWidth="1" min="13" max="13" width="34.14"/>
    <col customWidth="1" min="14" max="14" width="30.71"/>
    <col customWidth="1" min="15" max="26" width="8.71"/>
  </cols>
  <sheetData>
    <row r="1" ht="120.0" customHeight="1">
      <c r="A1" s="45" t="s">
        <v>54</v>
      </c>
      <c r="L1" s="45"/>
      <c r="M1" s="45"/>
      <c r="N1" s="45"/>
    </row>
    <row r="2">
      <c r="A2" s="45"/>
      <c r="B2" s="45"/>
      <c r="C2" s="45"/>
      <c r="D2" s="45"/>
      <c r="E2" s="45"/>
      <c r="F2" s="45"/>
      <c r="G2" s="45"/>
      <c r="H2" s="45"/>
      <c r="I2" s="46"/>
      <c r="J2" s="46"/>
      <c r="K2" s="45"/>
      <c r="L2" s="45"/>
      <c r="M2" s="45"/>
      <c r="N2" s="45"/>
    </row>
    <row r="3">
      <c r="A3" s="47" t="s">
        <v>55</v>
      </c>
      <c r="B3" s="48" t="s">
        <v>56</v>
      </c>
      <c r="C3" s="48" t="s">
        <v>57</v>
      </c>
      <c r="D3" s="48" t="s">
        <v>58</v>
      </c>
      <c r="E3" s="48" t="s">
        <v>59</v>
      </c>
      <c r="F3" s="48" t="s">
        <v>60</v>
      </c>
      <c r="G3" s="48" t="s">
        <v>61</v>
      </c>
      <c r="H3" s="48" t="s">
        <v>62</v>
      </c>
      <c r="I3" s="48" t="s">
        <v>63</v>
      </c>
      <c r="J3" s="48" t="s">
        <v>64</v>
      </c>
      <c r="K3" s="48" t="s">
        <v>65</v>
      </c>
      <c r="L3" s="49" t="s">
        <v>66</v>
      </c>
      <c r="M3" s="49" t="s">
        <v>67</v>
      </c>
      <c r="N3" s="49" t="s">
        <v>68</v>
      </c>
    </row>
    <row r="4">
      <c r="A4" s="48" t="s">
        <v>69</v>
      </c>
      <c r="B4" s="50" t="s">
        <v>70</v>
      </c>
      <c r="C4" s="50" t="s">
        <v>71</v>
      </c>
      <c r="D4" s="50" t="s">
        <v>72</v>
      </c>
      <c r="E4" s="50" t="s">
        <v>73</v>
      </c>
      <c r="F4" s="50" t="s">
        <v>74</v>
      </c>
      <c r="G4" s="51"/>
      <c r="H4" s="51"/>
      <c r="I4" s="51"/>
      <c r="J4" s="52"/>
      <c r="K4" s="52"/>
      <c r="L4" s="35"/>
      <c r="M4" s="35"/>
      <c r="N4" s="35"/>
    </row>
    <row r="5">
      <c r="A5" s="48" t="s">
        <v>75</v>
      </c>
      <c r="B5" s="53" t="s">
        <v>76</v>
      </c>
      <c r="C5" s="53" t="s">
        <v>77</v>
      </c>
      <c r="D5" s="53" t="s">
        <v>78</v>
      </c>
      <c r="E5" s="53" t="s">
        <v>79</v>
      </c>
      <c r="F5" s="53" t="s">
        <v>80</v>
      </c>
      <c r="G5" s="52"/>
      <c r="H5" s="52"/>
      <c r="I5" s="52"/>
      <c r="J5" s="52"/>
      <c r="K5" s="52"/>
      <c r="L5" s="37"/>
      <c r="M5" s="37"/>
      <c r="N5" s="37"/>
    </row>
    <row r="6">
      <c r="A6" s="54" t="str">
        <f>A3</f>
        <v>Atendimento humano receptivo e ativo por telefone</v>
      </c>
      <c r="B6" s="55">
        <v>4.71</v>
      </c>
      <c r="C6" s="55">
        <v>8.1</v>
      </c>
      <c r="D6" s="55">
        <v>8.1</v>
      </c>
      <c r="E6" s="55">
        <v>6.9</v>
      </c>
      <c r="F6" s="55">
        <v>10.2</v>
      </c>
      <c r="G6" s="56"/>
      <c r="H6" s="56"/>
      <c r="I6" s="57"/>
      <c r="J6" s="57"/>
      <c r="K6" s="58"/>
      <c r="L6" s="59">
        <f>IFERROR(MEDIAN($B6:$K6),"-")</f>
        <v>8.1</v>
      </c>
      <c r="M6" s="59">
        <f>IFERROR(L6*(1-50%),"-")</f>
        <v>4.05</v>
      </c>
      <c r="N6" s="59">
        <f>IFERROR(L6*(1+50%),"-")</f>
        <v>12.15</v>
      </c>
    </row>
    <row r="7">
      <c r="A7" s="54" t="s">
        <v>81</v>
      </c>
      <c r="B7" s="53">
        <v>2400000.0</v>
      </c>
      <c r="C7" s="53">
        <v>18000.0</v>
      </c>
      <c r="D7" s="53">
        <v>1800.0</v>
      </c>
      <c r="E7" s="53">
        <v>3.2E7</v>
      </c>
      <c r="F7" s="53">
        <v>1500000.0</v>
      </c>
      <c r="G7" s="56"/>
      <c r="H7" s="56"/>
      <c r="I7" s="56"/>
      <c r="J7" s="60"/>
      <c r="K7" s="58"/>
    </row>
    <row r="8">
      <c r="A8" s="48" t="s">
        <v>82</v>
      </c>
      <c r="B8" s="58">
        <f t="shared" ref="B8:K8" si="1">IFERROR(IF(B6&gt;$N6,"Não válido",IF(B6&lt;$M6,"Não válido",B6)),"-")</f>
        <v>4.71</v>
      </c>
      <c r="C8" s="58">
        <f t="shared" si="1"/>
        <v>8.1</v>
      </c>
      <c r="D8" s="58">
        <f t="shared" si="1"/>
        <v>8.1</v>
      </c>
      <c r="E8" s="58">
        <f t="shared" si="1"/>
        <v>6.9</v>
      </c>
      <c r="F8" s="58">
        <f t="shared" si="1"/>
        <v>10.2</v>
      </c>
      <c r="G8" s="58" t="str">
        <f t="shared" si="1"/>
        <v>Não válido</v>
      </c>
      <c r="H8" s="58" t="str">
        <f t="shared" si="1"/>
        <v>Não válido</v>
      </c>
      <c r="I8" s="58" t="str">
        <f t="shared" si="1"/>
        <v>Não válido</v>
      </c>
      <c r="J8" s="58" t="str">
        <f t="shared" si="1"/>
        <v>Não válido</v>
      </c>
      <c r="K8" s="58" t="str">
        <f t="shared" si="1"/>
        <v>Não válido</v>
      </c>
      <c r="L8" s="45"/>
      <c r="M8" s="45"/>
      <c r="N8" s="45"/>
    </row>
    <row r="9">
      <c r="A9" s="61" t="s">
        <v>83</v>
      </c>
      <c r="B9" s="59">
        <f>IFERROR(MIN(B8:K8),"-")</f>
        <v>4.71</v>
      </c>
      <c r="C9" s="46"/>
      <c r="D9" s="46"/>
      <c r="E9" s="46"/>
      <c r="F9" s="46"/>
      <c r="G9" s="46"/>
      <c r="H9" s="46"/>
      <c r="I9" s="46"/>
      <c r="J9" s="46"/>
      <c r="K9" s="46"/>
      <c r="L9" s="45"/>
      <c r="M9" s="45"/>
      <c r="N9" s="45"/>
    </row>
    <row r="10">
      <c r="A10" s="61" t="s">
        <v>84</v>
      </c>
      <c r="B10" s="59">
        <f>IFERROR(MEDIAN(B8:K8),"-")</f>
        <v>8.1</v>
      </c>
      <c r="C10" s="46"/>
      <c r="D10" s="46"/>
      <c r="E10" s="46"/>
      <c r="F10" s="46"/>
      <c r="G10" s="46"/>
      <c r="H10" s="46"/>
      <c r="I10" s="46"/>
      <c r="J10" s="46"/>
      <c r="K10" s="46"/>
      <c r="L10" s="45"/>
      <c r="M10" s="45"/>
      <c r="N10" s="45"/>
    </row>
    <row r="11">
      <c r="A11" s="61" t="s">
        <v>85</v>
      </c>
      <c r="B11" s="59">
        <f>IFERROR(AVERAGE(B8:K8),"-")</f>
        <v>7.602</v>
      </c>
      <c r="C11" s="46"/>
      <c r="D11" s="46"/>
      <c r="E11" s="46"/>
      <c r="F11" s="46"/>
      <c r="G11" s="46"/>
      <c r="H11" s="46"/>
      <c r="I11" s="46"/>
      <c r="J11" s="46"/>
      <c r="K11" s="46"/>
      <c r="L11" s="45"/>
      <c r="M11" s="45"/>
      <c r="N11" s="45"/>
    </row>
    <row r="12">
      <c r="A12" s="61" t="s">
        <v>86</v>
      </c>
      <c r="B12" s="59">
        <f>IFERROR(MAX(B8:K8),"-")</f>
        <v>10.2</v>
      </c>
      <c r="C12" s="46"/>
      <c r="D12" s="46"/>
      <c r="E12" s="46"/>
      <c r="F12" s="46"/>
      <c r="G12" s="46"/>
      <c r="H12" s="46"/>
      <c r="I12" s="46"/>
      <c r="J12" s="46"/>
      <c r="K12" s="46"/>
      <c r="L12" s="45"/>
      <c r="M12" s="45"/>
      <c r="N12" s="45"/>
    </row>
    <row r="13" ht="15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>
      <c r="A14" s="47" t="s">
        <v>87</v>
      </c>
      <c r="B14" s="48" t="s">
        <v>56</v>
      </c>
      <c r="C14" s="48" t="s">
        <v>57</v>
      </c>
      <c r="D14" s="48" t="s">
        <v>58</v>
      </c>
      <c r="E14" s="48" t="s">
        <v>59</v>
      </c>
      <c r="F14" s="48" t="s">
        <v>60</v>
      </c>
      <c r="G14" s="48" t="s">
        <v>61</v>
      </c>
      <c r="H14" s="48" t="s">
        <v>62</v>
      </c>
      <c r="I14" s="48" t="s">
        <v>63</v>
      </c>
      <c r="J14" s="48" t="s">
        <v>64</v>
      </c>
      <c r="K14" s="48" t="s">
        <v>65</v>
      </c>
      <c r="L14" s="49" t="s">
        <v>66</v>
      </c>
      <c r="M14" s="49" t="s">
        <v>67</v>
      </c>
      <c r="N14" s="49" t="s">
        <v>68</v>
      </c>
    </row>
    <row r="15">
      <c r="A15" s="48" t="s">
        <v>69</v>
      </c>
      <c r="B15" s="50" t="s">
        <v>88</v>
      </c>
      <c r="C15" s="50" t="s">
        <v>89</v>
      </c>
      <c r="D15" s="50" t="s">
        <v>90</v>
      </c>
      <c r="E15" s="50" t="s">
        <v>91</v>
      </c>
      <c r="F15" s="50" t="s">
        <v>92</v>
      </c>
      <c r="G15" s="51"/>
      <c r="H15" s="51"/>
      <c r="I15" s="51"/>
      <c r="J15" s="52"/>
      <c r="K15" s="52"/>
      <c r="L15" s="35"/>
      <c r="M15" s="35"/>
      <c r="N15" s="35"/>
    </row>
    <row r="16">
      <c r="A16" s="48" t="s">
        <v>75</v>
      </c>
      <c r="B16" s="53" t="s">
        <v>93</v>
      </c>
      <c r="C16" s="53" t="s">
        <v>94</v>
      </c>
      <c r="D16" s="53" t="s">
        <v>95</v>
      </c>
      <c r="E16" s="53" t="s">
        <v>96</v>
      </c>
      <c r="F16" s="53" t="s">
        <v>97</v>
      </c>
      <c r="G16" s="52"/>
      <c r="H16" s="52"/>
      <c r="I16" s="52"/>
      <c r="J16" s="52"/>
      <c r="K16" s="52"/>
      <c r="L16" s="37"/>
      <c r="M16" s="37"/>
      <c r="N16" s="37"/>
    </row>
    <row r="17">
      <c r="A17" s="54" t="str">
        <f>A14</f>
        <v>Atendimento humano receptivo e ativo online</v>
      </c>
      <c r="B17" s="55">
        <v>2.72</v>
      </c>
      <c r="C17" s="55">
        <v>2.72</v>
      </c>
      <c r="D17" s="55">
        <v>2.72</v>
      </c>
      <c r="E17" s="55">
        <v>2.43</v>
      </c>
      <c r="F17" s="55">
        <v>10.2</v>
      </c>
      <c r="G17" s="57"/>
      <c r="H17" s="57"/>
      <c r="I17" s="57"/>
      <c r="J17" s="57"/>
      <c r="K17" s="58"/>
      <c r="L17" s="59">
        <f>IFERROR(MEDIAN($B17:$K17),"-")</f>
        <v>2.72</v>
      </c>
      <c r="M17" s="59">
        <f>IFERROR(L17*(1-50%),"-")</f>
        <v>1.36</v>
      </c>
      <c r="N17" s="59">
        <f>IFERROR(L17*(1+50%),"-")</f>
        <v>4.08</v>
      </c>
    </row>
    <row r="18">
      <c r="A18" s="54" t="s">
        <v>81</v>
      </c>
      <c r="B18" s="53">
        <v>192000.0</v>
      </c>
      <c r="C18" s="53">
        <v>528000.0</v>
      </c>
      <c r="D18" s="53">
        <v>528000.0</v>
      </c>
      <c r="E18" s="53">
        <v>50000.0</v>
      </c>
      <c r="F18" s="53">
        <v>1800000.0</v>
      </c>
      <c r="G18" s="56"/>
      <c r="H18" s="56"/>
      <c r="I18" s="56"/>
      <c r="J18" s="60"/>
      <c r="K18" s="58"/>
    </row>
    <row r="19">
      <c r="A19" s="48" t="s">
        <v>82</v>
      </c>
      <c r="B19" s="58">
        <f t="shared" ref="B19:K19" si="2">IFERROR(IF(B17&gt;$N17,"Não válido",IF(B17&lt;$M17,"Não válido",B17)),"-")</f>
        <v>2.72</v>
      </c>
      <c r="C19" s="58">
        <f t="shared" si="2"/>
        <v>2.72</v>
      </c>
      <c r="D19" s="58">
        <f t="shared" si="2"/>
        <v>2.72</v>
      </c>
      <c r="E19" s="58">
        <f t="shared" si="2"/>
        <v>2.43</v>
      </c>
      <c r="F19" s="58" t="str">
        <f t="shared" si="2"/>
        <v>Não válido</v>
      </c>
      <c r="G19" s="58" t="str">
        <f t="shared" si="2"/>
        <v>Não válido</v>
      </c>
      <c r="H19" s="58" t="str">
        <f t="shared" si="2"/>
        <v>Não válido</v>
      </c>
      <c r="I19" s="58" t="str">
        <f t="shared" si="2"/>
        <v>Não válido</v>
      </c>
      <c r="J19" s="58" t="str">
        <f t="shared" si="2"/>
        <v>Não válido</v>
      </c>
      <c r="K19" s="58" t="str">
        <f t="shared" si="2"/>
        <v>Não válido</v>
      </c>
      <c r="L19" s="45"/>
      <c r="M19" s="45"/>
      <c r="N19" s="45"/>
    </row>
    <row r="20">
      <c r="A20" s="61" t="s">
        <v>83</v>
      </c>
      <c r="B20" s="59">
        <f>IFERROR(MIN(B19:K19),"-")</f>
        <v>2.43</v>
      </c>
      <c r="C20" s="46"/>
      <c r="D20" s="46"/>
      <c r="E20" s="46"/>
      <c r="F20" s="46"/>
      <c r="G20" s="46"/>
      <c r="H20" s="46"/>
      <c r="I20" s="46"/>
      <c r="J20" s="46"/>
      <c r="K20" s="46"/>
      <c r="L20" s="45"/>
      <c r="M20" s="45"/>
      <c r="N20" s="45"/>
    </row>
    <row r="21">
      <c r="A21" s="61" t="s">
        <v>84</v>
      </c>
      <c r="B21" s="59">
        <f>IFERROR(MEDIAN(B19:K19),"-")</f>
        <v>2.72</v>
      </c>
      <c r="C21" s="46"/>
      <c r="D21" s="46"/>
      <c r="E21" s="46"/>
      <c r="F21" s="46"/>
      <c r="G21" s="46"/>
      <c r="H21" s="46"/>
      <c r="I21" s="46"/>
      <c r="J21" s="46"/>
      <c r="K21" s="46"/>
      <c r="L21" s="45"/>
      <c r="M21" s="45"/>
      <c r="N21" s="45"/>
    </row>
    <row r="22">
      <c r="A22" s="61" t="s">
        <v>85</v>
      </c>
      <c r="B22" s="59">
        <f>IFERROR(AVERAGE(B19:K19),"-")</f>
        <v>2.6475</v>
      </c>
      <c r="C22" s="46"/>
      <c r="D22" s="46"/>
      <c r="E22" s="46"/>
      <c r="F22" s="46"/>
      <c r="G22" s="46"/>
      <c r="H22" s="46"/>
      <c r="I22" s="46"/>
      <c r="J22" s="46"/>
      <c r="K22" s="46"/>
      <c r="L22" s="45"/>
      <c r="M22" s="45"/>
      <c r="N22" s="45"/>
    </row>
    <row r="23">
      <c r="A23" s="61" t="s">
        <v>86</v>
      </c>
      <c r="B23" s="59">
        <f>IFERROR(MAX(B19:K19),"-")</f>
        <v>2.72</v>
      </c>
      <c r="C23" s="46"/>
      <c r="D23" s="46"/>
      <c r="E23" s="46"/>
      <c r="F23" s="46"/>
      <c r="G23" s="46"/>
      <c r="H23" s="46"/>
      <c r="I23" s="46"/>
      <c r="J23" s="46"/>
      <c r="K23" s="46"/>
      <c r="L23" s="45"/>
      <c r="M23" s="45"/>
      <c r="N23" s="45"/>
    </row>
    <row r="24" ht="15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>
      <c r="A25" s="47" t="s">
        <v>98</v>
      </c>
      <c r="B25" s="48" t="s">
        <v>56</v>
      </c>
      <c r="C25" s="48" t="s">
        <v>57</v>
      </c>
      <c r="D25" s="48" t="s">
        <v>58</v>
      </c>
      <c r="E25" s="48" t="s">
        <v>59</v>
      </c>
      <c r="F25" s="48" t="s">
        <v>60</v>
      </c>
      <c r="G25" s="48" t="s">
        <v>61</v>
      </c>
      <c r="H25" s="48" t="s">
        <v>62</v>
      </c>
      <c r="I25" s="48" t="s">
        <v>63</v>
      </c>
      <c r="J25" s="48" t="s">
        <v>64</v>
      </c>
      <c r="K25" s="48" t="s">
        <v>65</v>
      </c>
      <c r="L25" s="49" t="s">
        <v>66</v>
      </c>
      <c r="M25" s="49" t="s">
        <v>67</v>
      </c>
      <c r="N25" s="49" t="s">
        <v>68</v>
      </c>
    </row>
    <row r="26">
      <c r="A26" s="48" t="s">
        <v>69</v>
      </c>
      <c r="B26" s="50" t="s">
        <v>99</v>
      </c>
      <c r="C26" s="51"/>
      <c r="D26" s="51"/>
      <c r="E26" s="51"/>
      <c r="F26" s="51"/>
      <c r="G26" s="51"/>
      <c r="H26" s="51"/>
      <c r="I26" s="51"/>
      <c r="J26" s="52"/>
      <c r="K26" s="52"/>
      <c r="L26" s="35"/>
      <c r="M26" s="35"/>
      <c r="N26" s="35"/>
    </row>
    <row r="27">
      <c r="A27" s="48" t="s">
        <v>75</v>
      </c>
      <c r="B27" s="53" t="s">
        <v>100</v>
      </c>
      <c r="C27" s="62"/>
      <c r="D27" s="62"/>
      <c r="E27" s="52"/>
      <c r="F27" s="52"/>
      <c r="G27" s="52"/>
      <c r="H27" s="52"/>
      <c r="I27" s="52"/>
      <c r="J27" s="52"/>
      <c r="K27" s="52"/>
      <c r="L27" s="37"/>
      <c r="M27" s="37"/>
      <c r="N27" s="37"/>
    </row>
    <row r="28">
      <c r="A28" s="54" t="str">
        <f>A25</f>
        <v>Atendimento ativo de mensagens de texto para celular "Short Message Service" - SMS</v>
      </c>
      <c r="B28" s="55">
        <v>0.13</v>
      </c>
      <c r="C28" s="57"/>
      <c r="D28" s="57"/>
      <c r="E28" s="57"/>
      <c r="F28" s="57"/>
      <c r="G28" s="57"/>
      <c r="H28" s="57"/>
      <c r="I28" s="57"/>
      <c r="J28" s="57"/>
      <c r="K28" s="58"/>
      <c r="L28" s="59">
        <f>IFERROR(MEDIAN($B28:$K28),"-")</f>
        <v>0.13</v>
      </c>
      <c r="M28" s="59">
        <f>IFERROR(L28*(1-50%),"-")</f>
        <v>0.065</v>
      </c>
      <c r="N28" s="59">
        <f>IFERROR(L28*(1+50%),"-")</f>
        <v>0.195</v>
      </c>
    </row>
    <row r="29">
      <c r="A29" s="54" t="s">
        <v>81</v>
      </c>
      <c r="B29" s="53">
        <v>1.42E7</v>
      </c>
      <c r="C29" s="53"/>
      <c r="D29" s="53"/>
      <c r="E29" s="53"/>
      <c r="F29" s="53"/>
      <c r="G29" s="56"/>
      <c r="H29" s="56"/>
      <c r="I29" s="56"/>
      <c r="J29" s="60"/>
      <c r="K29" s="58"/>
    </row>
    <row r="30">
      <c r="A30" s="48" t="s">
        <v>82</v>
      </c>
      <c r="B30" s="58">
        <f t="shared" ref="B30:K30" si="3">IFERROR(IF(B28&gt;$N28,"Não válido",IF(B28&lt;$M28,"Não válido",B28)),"-")</f>
        <v>0.13</v>
      </c>
      <c r="C30" s="58" t="str">
        <f t="shared" si="3"/>
        <v>Não válido</v>
      </c>
      <c r="D30" s="58" t="str">
        <f t="shared" si="3"/>
        <v>Não válido</v>
      </c>
      <c r="E30" s="58" t="str">
        <f t="shared" si="3"/>
        <v>Não válido</v>
      </c>
      <c r="F30" s="58" t="str">
        <f t="shared" si="3"/>
        <v>Não válido</v>
      </c>
      <c r="G30" s="58" t="str">
        <f t="shared" si="3"/>
        <v>Não válido</v>
      </c>
      <c r="H30" s="58" t="str">
        <f t="shared" si="3"/>
        <v>Não válido</v>
      </c>
      <c r="I30" s="58" t="str">
        <f t="shared" si="3"/>
        <v>Não válido</v>
      </c>
      <c r="J30" s="58" t="str">
        <f t="shared" si="3"/>
        <v>Não válido</v>
      </c>
      <c r="K30" s="58" t="str">
        <f t="shared" si="3"/>
        <v>Não válido</v>
      </c>
      <c r="L30" s="45"/>
      <c r="M30" s="45"/>
      <c r="N30" s="45"/>
    </row>
    <row r="31">
      <c r="A31" s="61" t="s">
        <v>83</v>
      </c>
      <c r="B31" s="59">
        <f>IFERROR(MIN(B30:K30),"-")</f>
        <v>0.13</v>
      </c>
      <c r="C31" s="46"/>
      <c r="D31" s="46"/>
      <c r="E31" s="46"/>
      <c r="F31" s="46"/>
      <c r="G31" s="46"/>
      <c r="H31" s="46"/>
      <c r="I31" s="46"/>
      <c r="J31" s="46"/>
      <c r="K31" s="46"/>
      <c r="L31" s="45"/>
      <c r="M31" s="45"/>
      <c r="N31" s="45"/>
    </row>
    <row r="32">
      <c r="A32" s="61" t="s">
        <v>84</v>
      </c>
      <c r="B32" s="59">
        <f>IFERROR(MEDIAN(B30:K30),"-")</f>
        <v>0.13</v>
      </c>
      <c r="C32" s="46"/>
      <c r="D32" s="46"/>
      <c r="E32" s="46"/>
      <c r="F32" s="46"/>
      <c r="G32" s="46"/>
      <c r="H32" s="46"/>
      <c r="I32" s="46"/>
      <c r="J32" s="46"/>
      <c r="K32" s="46"/>
      <c r="L32" s="45"/>
      <c r="M32" s="45"/>
      <c r="N32" s="45"/>
    </row>
    <row r="33">
      <c r="A33" s="61" t="s">
        <v>85</v>
      </c>
      <c r="B33" s="59">
        <f>IFERROR(AVERAGE(B30:K30),"-")</f>
        <v>0.13</v>
      </c>
      <c r="C33" s="46"/>
      <c r="D33" s="46"/>
      <c r="E33" s="46"/>
      <c r="F33" s="46"/>
      <c r="G33" s="46"/>
      <c r="H33" s="46"/>
      <c r="I33" s="46"/>
      <c r="J33" s="46"/>
      <c r="K33" s="46"/>
      <c r="L33" s="45"/>
      <c r="M33" s="45"/>
      <c r="N33" s="45"/>
    </row>
    <row r="34">
      <c r="A34" s="61" t="s">
        <v>86</v>
      </c>
      <c r="B34" s="59">
        <f>IFERROR(MAX(B30:K30),"-")</f>
        <v>0.13</v>
      </c>
      <c r="C34" s="46"/>
      <c r="D34" s="46"/>
      <c r="E34" s="46"/>
      <c r="F34" s="46"/>
      <c r="G34" s="46"/>
      <c r="H34" s="46"/>
      <c r="I34" s="46"/>
      <c r="J34" s="46"/>
      <c r="K34" s="46"/>
      <c r="L34" s="45"/>
      <c r="M34" s="45"/>
      <c r="N34" s="45"/>
    </row>
    <row r="35" ht="15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ht="15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ht="15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ht="15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ht="15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ht="15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ht="15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ht="15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ht="15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ht="15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ht="15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ht="15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ht="15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ht="15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ht="15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ht="15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ht="15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ht="15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ht="15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ht="15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ht="15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ht="15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ht="15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ht="15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ht="15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ht="15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ht="15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ht="15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ht="15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ht="15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ht="15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ht="15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ht="15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ht="15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ht="15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ht="15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ht="15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ht="15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ht="15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ht="15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ht="15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ht="15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ht="15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ht="15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ht="15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ht="15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ht="15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ht="15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ht="15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ht="15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ht="15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ht="15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ht="15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ht="15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ht="15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ht="15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ht="15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ht="15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ht="15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ht="15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ht="15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ht="15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ht="15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ht="15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ht="15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ht="15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ht="15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ht="15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ht="15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ht="15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ht="15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ht="15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ht="15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ht="15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ht="15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ht="15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ht="15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ht="15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ht="15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ht="15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6" ht="15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ht="15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ht="15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ht="15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ht="15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ht="15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ht="15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 ht="15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ht="15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ht="15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</row>
    <row r="126" ht="15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ht="15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ht="15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ht="15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</row>
    <row r="130" ht="15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ht="15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ht="15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</row>
    <row r="133" ht="15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</row>
    <row r="134" ht="15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</row>
    <row r="135" ht="15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</row>
    <row r="136" ht="15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</row>
    <row r="137" ht="15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</row>
    <row r="138" ht="15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</row>
    <row r="139" ht="15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</row>
    <row r="140" ht="15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</row>
    <row r="141" ht="15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</row>
    <row r="142" ht="15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</row>
    <row r="143" ht="15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</row>
    <row r="144" ht="15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</row>
    <row r="145" ht="15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</row>
    <row r="146" ht="15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</row>
    <row r="147" ht="15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</row>
    <row r="148" ht="15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</row>
    <row r="149" ht="15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</row>
    <row r="150" ht="15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</row>
    <row r="151" ht="15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</row>
    <row r="152" ht="15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</row>
    <row r="153" ht="15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</row>
    <row r="154" ht="15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</row>
    <row r="155" ht="15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</row>
    <row r="156" ht="15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</row>
    <row r="157" ht="15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</row>
    <row r="158" ht="15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</row>
    <row r="159" ht="15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</row>
    <row r="160" ht="15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</row>
    <row r="161" ht="15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</row>
    <row r="162" ht="15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</row>
    <row r="163" ht="15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</row>
    <row r="164" ht="15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</row>
    <row r="165" ht="15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</row>
    <row r="166" ht="15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</row>
    <row r="167" ht="15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</row>
    <row r="168" ht="15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</row>
    <row r="169" ht="15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</row>
    <row r="170" ht="15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</row>
    <row r="171" ht="15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</row>
    <row r="172" ht="15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</row>
    <row r="173" ht="15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</row>
    <row r="174" ht="15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</row>
    <row r="175" ht="15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</row>
    <row r="176" ht="15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</row>
    <row r="177" ht="15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</row>
    <row r="178" ht="15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</row>
    <row r="179" ht="15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</row>
    <row r="180" ht="15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</row>
    <row r="181" ht="15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</row>
    <row r="182" ht="15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</row>
    <row r="183" ht="15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</row>
    <row r="184" ht="15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</row>
    <row r="185" ht="15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</row>
    <row r="186" ht="15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</row>
    <row r="187" ht="15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</row>
    <row r="188" ht="15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</row>
    <row r="189" ht="15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</row>
    <row r="190" ht="15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</row>
    <row r="191" ht="15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ht="15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</row>
    <row r="193" ht="15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  <row r="194" ht="15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</row>
    <row r="195" ht="15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</row>
    <row r="196" ht="15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</row>
    <row r="197" ht="15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</row>
    <row r="198" ht="15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</row>
    <row r="199" ht="15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</row>
    <row r="200" ht="15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</row>
    <row r="201" ht="15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</row>
    <row r="202" ht="15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</row>
    <row r="203" ht="15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</row>
    <row r="204" ht="15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</row>
    <row r="205" ht="15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</row>
    <row r="206" ht="15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</row>
    <row r="207" ht="15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</row>
    <row r="208" ht="15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</row>
    <row r="209" ht="15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</row>
    <row r="210" ht="15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  <row r="211" ht="15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ht="15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  <row r="213" ht="15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</row>
    <row r="214" ht="15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</row>
    <row r="215" ht="15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</row>
    <row r="216" ht="15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</row>
    <row r="217" ht="15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</row>
    <row r="218" ht="15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</row>
    <row r="219" ht="15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</row>
    <row r="220" ht="15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</row>
    <row r="221" ht="15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</row>
    <row r="222" ht="15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</row>
    <row r="223" ht="15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</row>
    <row r="224" ht="15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</row>
    <row r="225" ht="15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</row>
    <row r="226" ht="15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</row>
    <row r="227" ht="15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</row>
    <row r="228" ht="15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</row>
    <row r="229" ht="15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</row>
    <row r="230" ht="15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</row>
    <row r="231" ht="15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</row>
    <row r="232" ht="15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</row>
    <row r="233" ht="15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</row>
    <row r="234" ht="15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</row>
    <row r="235" ht="15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</row>
    <row r="236" ht="15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</row>
    <row r="237" ht="15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</row>
    <row r="238" ht="15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ht="15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</row>
    <row r="240" ht="15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</row>
    <row r="241" ht="15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</row>
    <row r="242" ht="15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</row>
    <row r="243" ht="15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</row>
    <row r="244" ht="15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</row>
    <row r="245" ht="15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  <row r="246" ht="15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</row>
    <row r="247" ht="15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</row>
    <row r="248" ht="15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</row>
    <row r="249" ht="15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</row>
    <row r="250" ht="15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</row>
    <row r="251" ht="15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</row>
    <row r="252" ht="15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</row>
    <row r="253" ht="15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</row>
    <row r="254" ht="15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</row>
    <row r="255" ht="15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</row>
    <row r="256" ht="15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</row>
    <row r="257" ht="15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</row>
    <row r="258" ht="15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ht="15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</row>
    <row r="260" ht="15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</row>
    <row r="261" ht="15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</row>
    <row r="262" ht="15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ht="15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ht="15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ht="15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ht="15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ht="15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ht="15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ht="15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ht="15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ht="15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ht="15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ht="15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ht="15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ht="15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</row>
    <row r="276" ht="15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</row>
    <row r="277" ht="15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</row>
    <row r="278" ht="15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ht="15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</row>
    <row r="280" ht="15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</row>
    <row r="281" ht="15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</row>
    <row r="282" ht="15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</row>
    <row r="283" ht="15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</row>
    <row r="284" ht="15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</row>
    <row r="285" ht="15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</row>
    <row r="286" ht="15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</row>
    <row r="287" ht="15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</row>
    <row r="288" ht="15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ht="15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ht="15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ht="15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ht="15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</row>
    <row r="293" ht="15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</row>
    <row r="294" ht="15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</row>
    <row r="295" ht="15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</row>
    <row r="296" ht="15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</row>
    <row r="297" ht="15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</row>
    <row r="298" ht="15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</row>
    <row r="299" ht="15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</row>
    <row r="300" ht="15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</row>
    <row r="301" ht="15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</row>
    <row r="302" ht="15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</row>
    <row r="303" ht="15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</row>
    <row r="304" ht="15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</row>
    <row r="305" ht="15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</row>
    <row r="306" ht="15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</row>
    <row r="307" ht="15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</row>
    <row r="308" ht="15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</row>
    <row r="309" ht="15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</row>
    <row r="310" ht="15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</row>
    <row r="311" ht="15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</row>
    <row r="312" ht="15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</row>
    <row r="313" ht="15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</row>
    <row r="314" ht="15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</row>
    <row r="315" ht="15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</row>
    <row r="316" ht="15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</row>
    <row r="317" ht="15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</row>
    <row r="318" ht="15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</row>
    <row r="319" ht="15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</row>
    <row r="320" ht="15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</row>
    <row r="321" ht="15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</row>
    <row r="322" ht="15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</row>
    <row r="323" ht="15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</row>
    <row r="324" ht="15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</row>
    <row r="325" ht="15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</row>
    <row r="326" ht="15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</row>
    <row r="327" ht="15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</row>
    <row r="328" ht="15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</row>
    <row r="329" ht="15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</row>
    <row r="330" ht="15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</row>
    <row r="331" ht="15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</row>
    <row r="332" ht="15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</row>
    <row r="333" ht="15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</row>
    <row r="334" ht="15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</row>
    <row r="335" ht="15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</row>
    <row r="336" ht="15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</row>
    <row r="337" ht="15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</row>
    <row r="338" ht="15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</row>
    <row r="339" ht="15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</row>
    <row r="340" ht="15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</row>
    <row r="341" ht="15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</row>
    <row r="342" ht="15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</row>
    <row r="343" ht="15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</row>
    <row r="344" ht="15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ht="15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ht="15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  <row r="347" ht="15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</row>
    <row r="348" ht="15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</row>
    <row r="349" ht="15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</row>
    <row r="350" ht="15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</row>
    <row r="351" ht="15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</row>
    <row r="352" ht="15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</row>
    <row r="353" ht="15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</row>
    <row r="354" ht="15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</row>
    <row r="355" ht="15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</row>
    <row r="356" ht="15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</row>
    <row r="357" ht="15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</row>
    <row r="358" ht="15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</row>
    <row r="359" ht="15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</row>
    <row r="360" ht="15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</row>
    <row r="361" ht="15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</row>
    <row r="362" ht="15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</row>
    <row r="363" ht="15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</row>
    <row r="364" ht="15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</row>
    <row r="365" ht="15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</row>
    <row r="366" ht="15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</row>
    <row r="367" ht="15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</row>
    <row r="368" ht="15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</row>
    <row r="369" ht="15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</row>
    <row r="370" ht="15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</row>
    <row r="371" ht="15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</row>
    <row r="372" ht="15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</row>
    <row r="373" ht="15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</row>
    <row r="374" ht="15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</row>
    <row r="375" ht="15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</row>
    <row r="376" ht="15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</row>
    <row r="377" ht="15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</row>
    <row r="378" ht="15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</row>
    <row r="379" ht="15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</row>
    <row r="380" ht="15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</row>
    <row r="381" ht="15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</row>
    <row r="382" ht="15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</row>
    <row r="383" ht="15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</row>
    <row r="384" ht="15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</row>
    <row r="385" ht="15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</row>
    <row r="386" ht="15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</row>
    <row r="387" ht="15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</row>
    <row r="388" ht="15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</row>
    <row r="389" ht="15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</row>
    <row r="390" ht="15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</row>
    <row r="391" ht="15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</row>
    <row r="392" ht="15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</row>
    <row r="393" ht="15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</row>
    <row r="394" ht="15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</row>
    <row r="395" ht="15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</row>
    <row r="396" ht="15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</row>
    <row r="397" ht="15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</row>
    <row r="398" ht="15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</row>
    <row r="399" ht="15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</row>
    <row r="400" ht="15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</row>
    <row r="401" ht="15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</row>
    <row r="402" ht="15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</row>
    <row r="403" ht="15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</row>
    <row r="404" ht="15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</row>
    <row r="405" ht="15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</row>
    <row r="406" ht="15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</row>
    <row r="407" ht="15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</row>
    <row r="408" ht="15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</row>
    <row r="409" ht="15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</row>
    <row r="410" ht="15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</row>
    <row r="411" ht="15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</row>
    <row r="412" ht="15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</row>
    <row r="413" ht="15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</row>
    <row r="414" ht="15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</row>
    <row r="415" ht="15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</row>
    <row r="416" ht="15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</row>
    <row r="417" ht="15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</row>
    <row r="418" ht="15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</row>
    <row r="419" ht="15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</row>
    <row r="420" ht="15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</row>
    <row r="421" ht="15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</row>
    <row r="422" ht="15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</row>
    <row r="423" ht="15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</row>
    <row r="424" ht="15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</row>
    <row r="425" ht="15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</row>
    <row r="426" ht="15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</row>
    <row r="427" ht="15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</row>
    <row r="428" ht="15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</row>
    <row r="429" ht="15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</row>
    <row r="430" ht="15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</row>
    <row r="431" ht="15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</row>
    <row r="432" ht="15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</row>
    <row r="433" ht="15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</row>
    <row r="434" ht="15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</row>
    <row r="435" ht="15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</row>
    <row r="436" ht="15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</row>
    <row r="437" ht="15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</row>
    <row r="438" ht="15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</row>
    <row r="439" ht="15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</row>
    <row r="440" ht="15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</row>
    <row r="441" ht="15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</row>
    <row r="442" ht="15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</row>
    <row r="443" ht="15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</row>
    <row r="444" ht="15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</row>
    <row r="445" ht="15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</row>
    <row r="446" ht="15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</row>
    <row r="447" ht="15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</row>
    <row r="448" ht="15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</row>
    <row r="449" ht="15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</row>
    <row r="450" ht="15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</row>
    <row r="451" ht="15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</row>
    <row r="452" ht="15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</row>
    <row r="453" ht="15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</row>
    <row r="454" ht="15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</row>
    <row r="455" ht="15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</row>
    <row r="456" ht="15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</row>
    <row r="457" ht="15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</row>
    <row r="458" ht="15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</row>
    <row r="459" ht="15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</row>
    <row r="460" ht="15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</row>
    <row r="461" ht="15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</row>
    <row r="462" ht="15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</row>
    <row r="463" ht="15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</row>
    <row r="464" ht="15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</row>
    <row r="465" ht="15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</row>
    <row r="466" ht="15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</row>
    <row r="467" ht="15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</row>
    <row r="468" ht="15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</row>
    <row r="469" ht="15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</row>
    <row r="470" ht="15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</row>
    <row r="471" ht="15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</row>
    <row r="472" ht="15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</row>
    <row r="473" ht="15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</row>
    <row r="474" ht="15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</row>
    <row r="475" ht="15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</row>
    <row r="476" ht="15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</row>
    <row r="477" ht="15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</row>
    <row r="478" ht="15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</row>
    <row r="479" ht="15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</row>
    <row r="480" ht="15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</row>
    <row r="481" ht="15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</row>
    <row r="482" ht="15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</row>
    <row r="483" ht="15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</row>
    <row r="484" ht="15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</row>
    <row r="485" ht="15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</row>
    <row r="486" ht="15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</row>
    <row r="487" ht="15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</row>
    <row r="488" ht="15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</row>
    <row r="489" ht="15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</row>
    <row r="490" ht="15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</row>
    <row r="491" ht="15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</row>
    <row r="492" ht="15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</row>
    <row r="493" ht="15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</row>
    <row r="494" ht="15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</row>
    <row r="495" ht="15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</row>
    <row r="496" ht="15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</row>
    <row r="497" ht="15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</row>
    <row r="498" ht="15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</row>
    <row r="499" ht="15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</row>
    <row r="500" ht="15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</row>
    <row r="501" ht="15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</row>
    <row r="502" ht="15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</row>
    <row r="503" ht="15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</row>
    <row r="504" ht="15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</row>
    <row r="505" ht="15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</row>
    <row r="506" ht="15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</row>
    <row r="507" ht="15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</row>
    <row r="508" ht="15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</row>
    <row r="509" ht="15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</row>
    <row r="510" ht="15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</row>
    <row r="511" ht="15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</row>
    <row r="512" ht="15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</row>
    <row r="513" ht="15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</row>
    <row r="514" ht="15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</row>
    <row r="515" ht="15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</row>
    <row r="516" ht="15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</row>
    <row r="517" ht="15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</row>
    <row r="518" ht="15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</row>
    <row r="519" ht="15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</row>
    <row r="520" ht="15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</row>
    <row r="521" ht="15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</row>
    <row r="522" ht="15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</row>
    <row r="523" ht="15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</row>
    <row r="524" ht="15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</row>
    <row r="525" ht="15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</row>
    <row r="526" ht="15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</row>
    <row r="527" ht="15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</row>
    <row r="528" ht="15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</row>
    <row r="529" ht="15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</row>
    <row r="530" ht="15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</row>
    <row r="531" ht="15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</row>
    <row r="532" ht="15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</row>
    <row r="533" ht="15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</row>
    <row r="534" ht="15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</row>
    <row r="535" ht="15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</row>
    <row r="536" ht="15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</row>
    <row r="537" ht="15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</row>
    <row r="538" ht="15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</row>
    <row r="539" ht="15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</row>
    <row r="540" ht="15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</row>
    <row r="541" ht="15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</row>
    <row r="542" ht="15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</row>
    <row r="543" ht="15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</row>
    <row r="544" ht="15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</row>
    <row r="545" ht="15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</row>
    <row r="546" ht="15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</row>
    <row r="547" ht="15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</row>
    <row r="548" ht="15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</row>
    <row r="549" ht="15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</row>
    <row r="550" ht="15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</row>
    <row r="551" ht="15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</row>
    <row r="552" ht="15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</row>
    <row r="553" ht="15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</row>
    <row r="554" ht="15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</row>
    <row r="555" ht="15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</row>
    <row r="556" ht="15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</row>
    <row r="557" ht="15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</row>
    <row r="558" ht="15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</row>
    <row r="559" ht="15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</row>
    <row r="560" ht="15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</row>
    <row r="561" ht="15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</row>
    <row r="562" ht="15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</row>
    <row r="563" ht="15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</row>
    <row r="564" ht="15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</row>
    <row r="565" ht="15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</row>
    <row r="566" ht="15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</row>
    <row r="567" ht="15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</row>
    <row r="568" ht="15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</row>
    <row r="569" ht="15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</row>
    <row r="570" ht="15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</row>
    <row r="571" ht="15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</row>
    <row r="572" ht="15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</row>
    <row r="573" ht="15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</row>
    <row r="574" ht="15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</row>
    <row r="575" ht="15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</row>
    <row r="576" ht="15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</row>
    <row r="577" ht="15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</row>
    <row r="578" ht="15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</row>
    <row r="579" ht="15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</row>
    <row r="580" ht="15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</row>
    <row r="581" ht="15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</row>
    <row r="582" ht="15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</row>
    <row r="583" ht="15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</row>
    <row r="584" ht="15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</row>
    <row r="585" ht="15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</row>
    <row r="586" ht="15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</row>
    <row r="587" ht="15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</row>
    <row r="588" ht="15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</row>
    <row r="589" ht="15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</row>
    <row r="590" ht="15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</row>
    <row r="591" ht="15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</row>
    <row r="592" ht="15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</row>
    <row r="593" ht="15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</row>
    <row r="594" ht="15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</row>
    <row r="595" ht="15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</row>
    <row r="596" ht="15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</row>
    <row r="597" ht="15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</row>
    <row r="598" ht="15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</row>
    <row r="599" ht="15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</row>
    <row r="600" ht="15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</row>
    <row r="601" ht="15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</row>
    <row r="602" ht="15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</row>
    <row r="603" ht="15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</row>
    <row r="604" ht="15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</row>
    <row r="605" ht="15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</row>
    <row r="606" ht="15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</row>
    <row r="607" ht="15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</row>
    <row r="608" ht="15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</row>
    <row r="609" ht="15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</row>
    <row r="610" ht="15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</row>
    <row r="611" ht="15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</row>
    <row r="612" ht="15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</row>
    <row r="613" ht="15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</row>
    <row r="614" ht="15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</row>
    <row r="615" ht="15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</row>
    <row r="616" ht="15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</row>
    <row r="617" ht="15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</row>
    <row r="618" ht="15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</row>
    <row r="619" ht="15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</row>
    <row r="620" ht="15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</row>
    <row r="621" ht="15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</row>
    <row r="622" ht="15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</row>
    <row r="623" ht="15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</row>
    <row r="624" ht="15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</row>
    <row r="625" ht="15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</row>
    <row r="626" ht="15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</row>
    <row r="627" ht="15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</row>
    <row r="628" ht="15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</row>
    <row r="629" ht="15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</row>
    <row r="630" ht="15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</row>
    <row r="631" ht="15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</row>
    <row r="632" ht="15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</row>
    <row r="633" ht="15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</row>
    <row r="634" ht="15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</row>
    <row r="635" ht="15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</row>
    <row r="636" ht="15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</row>
    <row r="637" ht="15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</row>
    <row r="638" ht="15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</row>
    <row r="639" ht="15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</row>
    <row r="640" ht="15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</row>
    <row r="641" ht="15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</row>
    <row r="642" ht="15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</row>
    <row r="643" ht="15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</row>
    <row r="644" ht="15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</row>
    <row r="645" ht="15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</row>
    <row r="646" ht="15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</row>
    <row r="647" ht="15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</row>
    <row r="648" ht="15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</row>
    <row r="649" ht="15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</row>
    <row r="650" ht="15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</row>
    <row r="651" ht="15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</row>
    <row r="652" ht="15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</row>
    <row r="653" ht="15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</row>
    <row r="654" ht="15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</row>
    <row r="655" ht="15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</row>
    <row r="656" ht="15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</row>
    <row r="657" ht="15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</row>
    <row r="658" ht="15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</row>
    <row r="659" ht="15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</row>
    <row r="660" ht="15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</row>
    <row r="661" ht="15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</row>
    <row r="662" ht="15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</row>
    <row r="663" ht="15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</row>
    <row r="664" ht="15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</row>
    <row r="665" ht="15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</row>
    <row r="666" ht="15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</row>
    <row r="667" ht="15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</row>
    <row r="668" ht="15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</row>
    <row r="669" ht="15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</row>
    <row r="670" ht="15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</row>
    <row r="671" ht="15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</row>
    <row r="672" ht="15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</row>
    <row r="673" ht="15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</row>
    <row r="674" ht="15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</row>
    <row r="675" ht="15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</row>
    <row r="676" ht="15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</row>
    <row r="677" ht="15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</row>
    <row r="678" ht="15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</row>
    <row r="679" ht="15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</row>
    <row r="680" ht="15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</row>
    <row r="681" ht="15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</row>
    <row r="682" ht="15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</row>
    <row r="683" ht="15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</row>
    <row r="684" ht="15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</row>
    <row r="685" ht="15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</row>
    <row r="686" ht="15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</row>
    <row r="687" ht="15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</row>
    <row r="688" ht="15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</row>
    <row r="689" ht="15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</row>
    <row r="690" ht="15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</row>
    <row r="691" ht="15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</row>
    <row r="692" ht="15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</row>
    <row r="693" ht="15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</row>
    <row r="694" ht="15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</row>
    <row r="695" ht="15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</row>
    <row r="696" ht="15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</row>
    <row r="697" ht="15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</row>
    <row r="698" ht="15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</row>
    <row r="699" ht="15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</row>
    <row r="700" ht="15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</row>
    <row r="701" ht="15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</row>
    <row r="702" ht="15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</row>
    <row r="703" ht="15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</row>
    <row r="704" ht="15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</row>
    <row r="705" ht="15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</row>
    <row r="706" ht="15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</row>
    <row r="707" ht="15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</row>
    <row r="708" ht="15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</row>
    <row r="709" ht="15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</row>
    <row r="710" ht="15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</row>
    <row r="711" ht="15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</row>
    <row r="712" ht="15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</row>
    <row r="713" ht="15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</row>
    <row r="714" ht="15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</row>
    <row r="715" ht="15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</row>
    <row r="716" ht="15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</row>
    <row r="717" ht="15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</row>
    <row r="718" ht="15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</row>
    <row r="719" ht="15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</row>
    <row r="720" ht="15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</row>
    <row r="721" ht="15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</row>
    <row r="722" ht="15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</row>
    <row r="723" ht="15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</row>
    <row r="724" ht="15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</row>
    <row r="725" ht="15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</row>
    <row r="726" ht="15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</row>
    <row r="727" ht="15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</row>
    <row r="728" ht="15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</row>
    <row r="729" ht="15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</row>
    <row r="730" ht="15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</row>
    <row r="731" ht="15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</row>
    <row r="732" ht="15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</row>
    <row r="733" ht="15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</row>
    <row r="734" ht="15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</row>
    <row r="735" ht="15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</row>
    <row r="736" ht="15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</row>
    <row r="737" ht="15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</row>
    <row r="738" ht="15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</row>
    <row r="739" ht="15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</row>
    <row r="740" ht="15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</row>
    <row r="741" ht="15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</row>
    <row r="742" ht="15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</row>
    <row r="743" ht="15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</row>
    <row r="744" ht="15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</row>
    <row r="745" ht="15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</row>
    <row r="746" ht="15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</row>
    <row r="747" ht="15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</row>
    <row r="748" ht="15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</row>
    <row r="749" ht="15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</row>
    <row r="750" ht="15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</row>
    <row r="751" ht="15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</row>
    <row r="752" ht="15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</row>
    <row r="753" ht="15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</row>
    <row r="754" ht="15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</row>
    <row r="755" ht="15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</row>
    <row r="756" ht="15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</row>
    <row r="757" ht="15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</row>
    <row r="758" ht="15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</row>
    <row r="759" ht="15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</row>
    <row r="760" ht="15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</row>
    <row r="761" ht="15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</row>
    <row r="762" ht="15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</row>
    <row r="763" ht="15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</row>
    <row r="764" ht="15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</row>
    <row r="765" ht="15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</row>
    <row r="766" ht="15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</row>
    <row r="767" ht="15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</row>
    <row r="768" ht="15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</row>
    <row r="769" ht="15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</row>
    <row r="770" ht="15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</row>
    <row r="771" ht="15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</row>
    <row r="772" ht="15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</row>
    <row r="773" ht="15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</row>
    <row r="774" ht="15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</row>
    <row r="775" ht="15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</row>
    <row r="776" ht="15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</row>
    <row r="777" ht="15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</row>
    <row r="778" ht="15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</row>
    <row r="779" ht="15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</row>
    <row r="780" ht="15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</row>
    <row r="781" ht="15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</row>
    <row r="782" ht="15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</row>
    <row r="783" ht="15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</row>
    <row r="784" ht="15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</row>
    <row r="785" ht="15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</row>
    <row r="786" ht="15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</row>
    <row r="787" ht="15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</row>
    <row r="788" ht="15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</row>
    <row r="789" ht="15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</row>
    <row r="790" ht="15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</row>
    <row r="791" ht="15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</row>
    <row r="792" ht="15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</row>
    <row r="793" ht="15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</row>
    <row r="794" ht="15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</row>
    <row r="795" ht="15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</row>
    <row r="796" ht="15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</row>
    <row r="797" ht="15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</row>
    <row r="798" ht="15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</row>
    <row r="799" ht="15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</row>
    <row r="800" ht="15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</row>
    <row r="801" ht="15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</row>
    <row r="802" ht="15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</row>
    <row r="803" ht="15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</row>
    <row r="804" ht="15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</row>
    <row r="805" ht="15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</row>
    <row r="806" ht="15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</row>
    <row r="807" ht="15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</row>
    <row r="808" ht="15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</row>
    <row r="809" ht="15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</row>
    <row r="810" ht="15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</row>
    <row r="811" ht="15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</row>
    <row r="812" ht="15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</row>
    <row r="813" ht="15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</row>
    <row r="814" ht="15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</row>
    <row r="815" ht="15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</row>
    <row r="816" ht="15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</row>
    <row r="817" ht="15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</row>
    <row r="818" ht="15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</row>
    <row r="819" ht="15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</row>
    <row r="820" ht="15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</row>
    <row r="821" ht="15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</row>
    <row r="822" ht="15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</row>
    <row r="823" ht="15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</row>
    <row r="824" ht="15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</row>
    <row r="825" ht="15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</row>
    <row r="826" ht="15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</row>
    <row r="827" ht="15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</row>
    <row r="828" ht="15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</row>
    <row r="829" ht="15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</row>
    <row r="830" ht="15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</row>
    <row r="831" ht="15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</row>
    <row r="832" ht="15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</row>
    <row r="833" ht="15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</row>
    <row r="834" ht="15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</row>
    <row r="835" ht="15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</row>
    <row r="836" ht="15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</row>
    <row r="837" ht="15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</row>
    <row r="838" ht="15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</row>
    <row r="839" ht="15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</row>
    <row r="840" ht="15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</row>
    <row r="841" ht="15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</row>
    <row r="842" ht="15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</row>
    <row r="843" ht="15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</row>
    <row r="844" ht="15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</row>
    <row r="845" ht="15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</row>
    <row r="846" ht="15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</row>
    <row r="847" ht="15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</row>
    <row r="848" ht="15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</row>
    <row r="849" ht="15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</row>
    <row r="850" ht="15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</row>
    <row r="851" ht="15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</row>
    <row r="852" ht="15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</row>
    <row r="853" ht="15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</row>
    <row r="854" ht="15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</row>
    <row r="855" ht="15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</row>
    <row r="856" ht="15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</row>
    <row r="857" ht="15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</row>
    <row r="858" ht="15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</row>
    <row r="859" ht="15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</row>
    <row r="860" ht="15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</row>
    <row r="861" ht="15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</row>
    <row r="862" ht="15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</row>
    <row r="863" ht="15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</row>
    <row r="864" ht="15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</row>
    <row r="865" ht="15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</row>
    <row r="866" ht="15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</row>
    <row r="867" ht="15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</row>
    <row r="868" ht="15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</row>
    <row r="869" ht="15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</row>
    <row r="870" ht="15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</row>
    <row r="871" ht="15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</row>
    <row r="872" ht="15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</row>
    <row r="873" ht="15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</row>
    <row r="874" ht="15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</row>
    <row r="875" ht="15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</row>
    <row r="876" ht="15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</row>
    <row r="877" ht="15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</row>
    <row r="878" ht="15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</row>
    <row r="879" ht="15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</row>
    <row r="880" ht="15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</row>
    <row r="881" ht="15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</row>
    <row r="882" ht="15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</row>
    <row r="883" ht="15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</row>
    <row r="884" ht="15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</row>
    <row r="885" ht="15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</row>
    <row r="886" ht="15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</row>
    <row r="887" ht="15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</row>
    <row r="888" ht="15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</row>
    <row r="889" ht="15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</row>
    <row r="890" ht="15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</row>
    <row r="891" ht="15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</row>
    <row r="892" ht="15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</row>
    <row r="893" ht="15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</row>
    <row r="894" ht="15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</row>
    <row r="895" ht="15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</row>
    <row r="896" ht="15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</row>
    <row r="897" ht="15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</row>
    <row r="898" ht="15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</row>
    <row r="899" ht="15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</row>
    <row r="900" ht="15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</row>
    <row r="901" ht="15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</row>
    <row r="902" ht="15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</row>
    <row r="903" ht="15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</row>
    <row r="904" ht="15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</row>
    <row r="905" ht="15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</row>
    <row r="906" ht="15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</row>
    <row r="907" ht="15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</row>
    <row r="908" ht="15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</row>
    <row r="909" ht="15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</row>
    <row r="910" ht="15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</row>
    <row r="911" ht="15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</row>
    <row r="912" ht="15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</row>
    <row r="913" ht="15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</row>
    <row r="914" ht="15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</row>
    <row r="915" ht="15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</row>
    <row r="916" ht="15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</row>
    <row r="917" ht="15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</row>
    <row r="918" ht="15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</row>
    <row r="919" ht="15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</row>
    <row r="920" ht="15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</row>
    <row r="921" ht="15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</row>
    <row r="922" ht="15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</row>
    <row r="923" ht="15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</row>
    <row r="924" ht="15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</row>
    <row r="925" ht="15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</row>
    <row r="926" ht="15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</row>
    <row r="927" ht="15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</row>
    <row r="928" ht="15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</row>
    <row r="929" ht="15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</row>
    <row r="930" ht="15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</row>
    <row r="931" ht="15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</row>
    <row r="932" ht="15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</row>
    <row r="933" ht="15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</row>
    <row r="934" ht="15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</row>
    <row r="935" ht="15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</row>
    <row r="936" ht="15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</row>
    <row r="937" ht="15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</row>
    <row r="938" ht="15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</row>
    <row r="939" ht="15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</row>
    <row r="940" ht="15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</row>
    <row r="941" ht="15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</row>
    <row r="942" ht="15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</row>
    <row r="943" ht="15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</row>
    <row r="944" ht="15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</row>
    <row r="945" ht="15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</row>
    <row r="946" ht="15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</row>
    <row r="947" ht="15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</row>
    <row r="948" ht="15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</row>
    <row r="949" ht="15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</row>
    <row r="950" ht="15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</row>
    <row r="951" ht="15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</row>
    <row r="952" ht="15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</row>
    <row r="953" ht="15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</row>
    <row r="954" ht="15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</row>
    <row r="955" ht="15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</row>
    <row r="956" ht="15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</row>
    <row r="957" ht="15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</row>
    <row r="958" ht="15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</row>
    <row r="959" ht="15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</row>
    <row r="960" ht="15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</row>
    <row r="961" ht="15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</row>
    <row r="962" ht="15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</row>
    <row r="963" ht="15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</row>
    <row r="964" ht="15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</row>
    <row r="965" ht="15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</row>
    <row r="966" ht="15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</row>
    <row r="967" ht="15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</row>
    <row r="968" ht="15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</row>
    <row r="969" ht="15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</row>
    <row r="970" ht="15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</row>
    <row r="971" ht="15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</row>
    <row r="972" ht="15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</row>
    <row r="973" ht="15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</row>
    <row r="974" ht="15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</row>
    <row r="975" ht="15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</row>
    <row r="976" ht="15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</row>
    <row r="977" ht="15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</row>
    <row r="978" ht="15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</row>
    <row r="979" ht="15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</row>
    <row r="980" ht="15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</row>
    <row r="981" ht="15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</row>
    <row r="982" ht="15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</row>
    <row r="983" ht="15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</row>
    <row r="984" ht="15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</row>
    <row r="985" ht="15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</row>
    <row r="986" ht="15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</row>
    <row r="987" ht="15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</row>
    <row r="988" ht="15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</row>
    <row r="989" ht="15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</row>
  </sheetData>
  <mergeCells count="10">
    <mergeCell ref="L25:L27"/>
    <mergeCell ref="M25:M27"/>
    <mergeCell ref="N25:N27"/>
    <mergeCell ref="A1:K1"/>
    <mergeCell ref="L3:L5"/>
    <mergeCell ref="M3:M5"/>
    <mergeCell ref="N3:N5"/>
    <mergeCell ref="L14:L16"/>
    <mergeCell ref="M14:M16"/>
    <mergeCell ref="N14:N16"/>
  </mergeCells>
  <conditionalFormatting sqref="B8:K8 B19:K19 B30:K30">
    <cfRule type="cellIs" dxfId="0" priority="1" operator="equal">
      <formula>"Não válido"</formula>
    </cfRule>
  </conditionalFormatting>
  <hyperlinks>
    <hyperlink r:id="rId1" ref="B4"/>
    <hyperlink r:id="rId2" ref="C4"/>
    <hyperlink r:id="rId3" ref="D4"/>
    <hyperlink r:id="rId4" ref="E4"/>
    <hyperlink r:id="rId5" ref="F4"/>
    <hyperlink r:id="rId6" ref="B15"/>
    <hyperlink r:id="rId7" ref="C15"/>
    <hyperlink r:id="rId8" ref="D15"/>
    <hyperlink r:id="rId9" ref="E15"/>
    <hyperlink r:id="rId10" ref="F15"/>
    <hyperlink r:id="rId11" ref="B26"/>
  </hyperlinks>
  <printOptions/>
  <pageMargins bottom="0.787401575" footer="0.0" header="0.0" left="0.511811024" right="0.511811024" top="0.787401575"/>
  <pageSetup paperSize="9" orientation="portrait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6.43"/>
    <col customWidth="1" min="2" max="10" width="15.71"/>
    <col customWidth="1" min="11" max="26" width="8.71"/>
  </cols>
  <sheetData>
    <row r="1">
      <c r="A1" s="63" t="s">
        <v>101</v>
      </c>
      <c r="B1" s="63"/>
      <c r="C1" s="63"/>
      <c r="D1" s="63"/>
      <c r="E1" s="63"/>
      <c r="F1" s="63"/>
      <c r="G1" s="64" t="s">
        <v>85</v>
      </c>
      <c r="H1" s="64" t="s">
        <v>85</v>
      </c>
    </row>
    <row r="2" ht="15.0" customHeight="1">
      <c r="A2" s="65"/>
      <c r="B2" s="65"/>
      <c r="C2" s="66"/>
      <c r="D2" s="66"/>
      <c r="E2" s="64" t="s">
        <v>85</v>
      </c>
      <c r="F2" s="4"/>
      <c r="G2" s="64" t="s">
        <v>85</v>
      </c>
      <c r="H2" s="64" t="s">
        <v>85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7" t="s">
        <v>102</v>
      </c>
      <c r="B3" s="68" t="s">
        <v>103</v>
      </c>
      <c r="C3" s="68" t="s">
        <v>104</v>
      </c>
      <c r="D3" s="68" t="s">
        <v>105</v>
      </c>
      <c r="E3" s="68" t="s">
        <v>106</v>
      </c>
      <c r="F3" s="68" t="s">
        <v>107</v>
      </c>
      <c r="G3" s="68" t="s">
        <v>108</v>
      </c>
      <c r="H3" s="6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A4" s="47" t="s">
        <v>55</v>
      </c>
      <c r="B4" s="69" t="s">
        <v>109</v>
      </c>
      <c r="C4" s="70">
        <f>MIN('Base de custos'!$A$10:$B$11)</f>
        <v>7.602</v>
      </c>
      <c r="D4" s="71">
        <f t="shared" ref="D4:D6" si="1">$C$15*D20</f>
        <v>4071189.405</v>
      </c>
      <c r="E4" s="70">
        <f t="shared" ref="E4:E6" si="2">$C4*D4</f>
        <v>30949181.85</v>
      </c>
      <c r="F4" s="71">
        <f t="shared" ref="F4:F6" si="3">(D4/12)*30</f>
        <v>10177973.51</v>
      </c>
      <c r="G4" s="70">
        <f t="shared" ref="G4:G6" si="4">$C4*F4</f>
        <v>77372954.64</v>
      </c>
      <c r="H4" s="6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47" t="s">
        <v>87</v>
      </c>
      <c r="B5" s="69" t="s">
        <v>109</v>
      </c>
      <c r="C5" s="70">
        <f>MIN('Base de custos'!$A$21:$B$22)</f>
        <v>2.6475</v>
      </c>
      <c r="D5" s="71">
        <f t="shared" si="1"/>
        <v>1564405.298</v>
      </c>
      <c r="E5" s="70">
        <f t="shared" si="2"/>
        <v>4141763.026</v>
      </c>
      <c r="F5" s="71">
        <f t="shared" si="3"/>
        <v>3911013.244</v>
      </c>
      <c r="G5" s="70">
        <f t="shared" si="4"/>
        <v>10354407.56</v>
      </c>
      <c r="H5" s="6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47" t="s">
        <v>98</v>
      </c>
      <c r="B6" s="69" t="s">
        <v>109</v>
      </c>
      <c r="C6" s="70">
        <f>MIN('Base de custos'!$A$32:$B$33)</f>
        <v>0.13</v>
      </c>
      <c r="D6" s="71">
        <f t="shared" si="1"/>
        <v>1564405.298</v>
      </c>
      <c r="E6" s="70">
        <f t="shared" si="2"/>
        <v>203372.6887</v>
      </c>
      <c r="F6" s="71">
        <f t="shared" si="3"/>
        <v>3911013.244</v>
      </c>
      <c r="G6" s="70">
        <f t="shared" si="4"/>
        <v>508431.7217</v>
      </c>
      <c r="H6" s="6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7" t="s">
        <v>110</v>
      </c>
      <c r="B7" s="72" t="s">
        <v>111</v>
      </c>
      <c r="C7" s="73">
        <v>0.35</v>
      </c>
      <c r="D7" s="70" t="s">
        <v>112</v>
      </c>
      <c r="E7" s="70">
        <f>$C7*SUM(E4:E6)</f>
        <v>12353011.15</v>
      </c>
      <c r="F7" s="70" t="s">
        <v>112</v>
      </c>
      <c r="G7" s="70">
        <f>$C7*SUM(G4:G6)</f>
        <v>30882527.87</v>
      </c>
      <c r="H7" s="6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54" t="s">
        <v>113</v>
      </c>
      <c r="B8" s="72" t="s">
        <v>111</v>
      </c>
      <c r="C8" s="70">
        <f>'Custos mão de obra'!$D$41</f>
        <v>88.67033128</v>
      </c>
      <c r="D8" s="70">
        <f>(3798/2.5)+(5280/2.5)+(5280/2.5)+(5280/2.5)+(10560/2.5)+(5280/2.5)+(5280/2.5)+(5280/2.5)+(5280/2.5)</f>
        <v>20527.2</v>
      </c>
      <c r="E8" s="70">
        <f>$C8*D8</f>
        <v>1820153.624</v>
      </c>
      <c r="F8" s="70">
        <f>3798+5280+5280+5280+10560+5280+5280+5280+5280</f>
        <v>51318</v>
      </c>
      <c r="G8" s="70">
        <f>$C8*F8</f>
        <v>4550384.061</v>
      </c>
      <c r="H8" s="6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0" customHeight="1">
      <c r="A9" s="74" t="s">
        <v>114</v>
      </c>
      <c r="B9" s="2"/>
      <c r="C9" s="2"/>
      <c r="D9" s="3"/>
      <c r="E9" s="75">
        <f>SUM(E4:E8)</f>
        <v>49467482.34</v>
      </c>
      <c r="F9" s="75" t="s">
        <v>112</v>
      </c>
      <c r="G9" s="75">
        <f>SUM(G4:G8)</f>
        <v>123668705.9</v>
      </c>
      <c r="H9" s="6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4"/>
      <c r="D10" s="4"/>
      <c r="E10" s="4"/>
      <c r="F10" s="4"/>
      <c r="G10" s="4"/>
      <c r="H10" s="4"/>
    </row>
    <row r="11">
      <c r="A11" s="4"/>
      <c r="B11" s="76" t="s">
        <v>115</v>
      </c>
      <c r="C11" s="76" t="s">
        <v>116</v>
      </c>
      <c r="D11" s="76" t="s">
        <v>117</v>
      </c>
      <c r="E11" s="4"/>
      <c r="F11" s="4"/>
      <c r="G11" s="4"/>
      <c r="H11" s="4"/>
    </row>
    <row r="12">
      <c r="A12" s="77" t="s">
        <v>118</v>
      </c>
      <c r="B12" s="78">
        <v>350000.0</v>
      </c>
      <c r="C12" s="79">
        <f t="shared" ref="C12:C14" si="5">B12*12</f>
        <v>4200000</v>
      </c>
      <c r="D12" s="79">
        <f t="shared" ref="D12:D14" si="6">B12*30</f>
        <v>10500000</v>
      </c>
      <c r="E12" s="80"/>
      <c r="F12" s="4"/>
      <c r="G12" s="4"/>
      <c r="H12" s="4"/>
    </row>
    <row r="13">
      <c r="A13" s="81" t="s">
        <v>119</v>
      </c>
      <c r="B13" s="78">
        <v>500000.0</v>
      </c>
      <c r="C13" s="79">
        <f t="shared" si="5"/>
        <v>6000000</v>
      </c>
      <c r="D13" s="79">
        <f t="shared" si="6"/>
        <v>15000000</v>
      </c>
      <c r="E13" s="80"/>
      <c r="F13" s="4"/>
      <c r="G13" s="4"/>
      <c r="H13" s="4"/>
    </row>
    <row r="14">
      <c r="A14" s="81" t="s">
        <v>120</v>
      </c>
      <c r="B14" s="78">
        <v>700000.0</v>
      </c>
      <c r="C14" s="79">
        <f t="shared" si="5"/>
        <v>8400000</v>
      </c>
      <c r="D14" s="79">
        <f t="shared" si="6"/>
        <v>21000000</v>
      </c>
      <c r="E14" s="80"/>
      <c r="F14" s="4"/>
      <c r="G14" s="4"/>
      <c r="H14" s="4"/>
    </row>
    <row r="15">
      <c r="A15" s="76" t="s">
        <v>121</v>
      </c>
      <c r="B15" s="79">
        <f t="shared" ref="B15:D15" si="7">AVERAGE(B13:B14)</f>
        <v>600000</v>
      </c>
      <c r="C15" s="79">
        <f t="shared" si="7"/>
        <v>7200000</v>
      </c>
      <c r="D15" s="79">
        <f t="shared" si="7"/>
        <v>18000000</v>
      </c>
      <c r="E15" s="80"/>
      <c r="F15" s="4"/>
      <c r="G15" s="4"/>
      <c r="H15" s="4"/>
    </row>
    <row r="16">
      <c r="A16" s="4"/>
      <c r="B16" s="4"/>
      <c r="C16" s="4"/>
      <c r="D16" s="4"/>
      <c r="E16" s="82"/>
      <c r="F16" s="4"/>
      <c r="G16" s="4"/>
      <c r="H16" s="4"/>
    </row>
    <row r="17">
      <c r="A17" s="83"/>
      <c r="B17" s="84"/>
      <c r="C17" s="84"/>
      <c r="D17" s="4"/>
      <c r="E17" s="4"/>
      <c r="F17" s="4"/>
      <c r="G17" s="4"/>
      <c r="H17" s="4"/>
    </row>
    <row r="18">
      <c r="A18" s="85" t="s">
        <v>122</v>
      </c>
      <c r="B18" s="2"/>
      <c r="C18" s="2"/>
      <c r="D18" s="2"/>
      <c r="E18" s="3"/>
      <c r="F18" s="4"/>
      <c r="G18" s="4"/>
      <c r="H18" s="4"/>
    </row>
    <row r="19">
      <c r="A19" s="86" t="s">
        <v>102</v>
      </c>
      <c r="B19" s="86" t="s">
        <v>123</v>
      </c>
      <c r="C19" s="86" t="s">
        <v>124</v>
      </c>
      <c r="D19" s="86" t="s">
        <v>125</v>
      </c>
      <c r="E19" s="87" t="s">
        <v>124</v>
      </c>
      <c r="F19" s="4"/>
      <c r="G19" s="4"/>
      <c r="H19" s="4"/>
    </row>
    <row r="20">
      <c r="A20" s="47" t="s">
        <v>55</v>
      </c>
      <c r="B20" s="88">
        <f>119129+56769</f>
        <v>175898</v>
      </c>
      <c r="C20" s="88">
        <f t="shared" ref="C20:C22" si="8">B20*12</f>
        <v>2110776</v>
      </c>
      <c r="D20" s="89">
        <f t="shared" ref="D20:D22" si="9">C20/$C$23</f>
        <v>0.5654429729</v>
      </c>
      <c r="E20" s="90">
        <f t="shared" ref="E20:E22" si="10">$C$15*D20</f>
        <v>4071189.405</v>
      </c>
      <c r="F20" s="4"/>
      <c r="G20" s="4"/>
      <c r="H20" s="4"/>
    </row>
    <row r="21">
      <c r="A21" s="47" t="s">
        <v>87</v>
      </c>
      <c r="B21" s="88">
        <v>67591.0</v>
      </c>
      <c r="C21" s="88">
        <f t="shared" si="8"/>
        <v>811092</v>
      </c>
      <c r="D21" s="89">
        <f t="shared" si="9"/>
        <v>0.2172785136</v>
      </c>
      <c r="E21" s="90">
        <f t="shared" si="10"/>
        <v>1564405.298</v>
      </c>
      <c r="F21" s="4"/>
      <c r="G21" s="4"/>
      <c r="H21" s="4"/>
    </row>
    <row r="22">
      <c r="A22" s="47" t="s">
        <v>98</v>
      </c>
      <c r="B22" s="88">
        <v>67591.0</v>
      </c>
      <c r="C22" s="88">
        <f t="shared" si="8"/>
        <v>811092</v>
      </c>
      <c r="D22" s="89">
        <f t="shared" si="9"/>
        <v>0.2172785136</v>
      </c>
      <c r="E22" s="90">
        <f t="shared" si="10"/>
        <v>1564405.298</v>
      </c>
      <c r="F22" s="4"/>
      <c r="G22" s="4"/>
      <c r="H22" s="4"/>
    </row>
    <row r="23">
      <c r="A23" s="91" t="s">
        <v>32</v>
      </c>
      <c r="B23" s="91">
        <f t="shared" ref="B23:E23" si="11">SUM(B20:B22)</f>
        <v>311080</v>
      </c>
      <c r="C23" s="91">
        <f t="shared" si="11"/>
        <v>3732960</v>
      </c>
      <c r="D23" s="92">
        <f t="shared" si="11"/>
        <v>1</v>
      </c>
      <c r="E23" s="93">
        <f t="shared" si="11"/>
        <v>7200000</v>
      </c>
      <c r="F23" s="4"/>
      <c r="G23" s="4"/>
      <c r="H23" s="4"/>
    </row>
    <row r="24" ht="15.75" customHeight="1">
      <c r="A24" s="4"/>
      <c r="B24" s="4"/>
      <c r="C24" s="4"/>
      <c r="D24" s="4"/>
      <c r="E24" s="4"/>
      <c r="F24" s="4"/>
      <c r="G24" s="4"/>
      <c r="H24" s="4"/>
    </row>
    <row r="25" ht="15.75" customHeight="1">
      <c r="A25" s="4"/>
      <c r="B25" s="4"/>
      <c r="C25" s="4"/>
      <c r="D25" s="4"/>
      <c r="E25" s="4"/>
      <c r="F25" s="4"/>
      <c r="G25" s="4"/>
      <c r="H25" s="4"/>
    </row>
    <row r="26" ht="15.75" customHeight="1">
      <c r="A26" s="4"/>
      <c r="B26" s="4"/>
      <c r="C26" s="4"/>
      <c r="D26" s="4"/>
      <c r="E26" s="4"/>
      <c r="F26" s="4"/>
      <c r="G26" s="4"/>
      <c r="H26" s="4"/>
    </row>
    <row r="27" ht="15.75" customHeight="1">
      <c r="A27" s="4"/>
      <c r="B27" s="4"/>
      <c r="C27" s="4"/>
      <c r="D27" s="4"/>
      <c r="E27" s="4"/>
      <c r="F27" s="4"/>
      <c r="G27" s="4"/>
      <c r="H27" s="4"/>
    </row>
    <row r="28" ht="15.75" customHeight="1">
      <c r="A28" s="4"/>
      <c r="B28" s="4"/>
      <c r="C28" s="4"/>
      <c r="D28" s="4"/>
      <c r="E28" s="4"/>
      <c r="F28" s="4"/>
      <c r="G28" s="4"/>
      <c r="H28" s="4"/>
    </row>
    <row r="29" ht="15.75" customHeight="1">
      <c r="A29" s="4"/>
      <c r="B29" s="4"/>
      <c r="C29" s="4"/>
      <c r="D29" s="4"/>
      <c r="E29" s="4"/>
      <c r="F29" s="4"/>
      <c r="G29" s="4"/>
      <c r="H29" s="4"/>
    </row>
    <row r="30" ht="15.75" customHeight="1">
      <c r="A30" s="4"/>
      <c r="B30" s="4"/>
      <c r="C30" s="4"/>
      <c r="D30" s="4"/>
      <c r="E30" s="4"/>
      <c r="F30" s="4"/>
      <c r="G30" s="4"/>
      <c r="H30" s="4"/>
    </row>
    <row r="31" ht="15.75" customHeight="1">
      <c r="A31" s="4"/>
      <c r="B31" s="4"/>
      <c r="C31" s="4"/>
      <c r="D31" s="4"/>
      <c r="E31" s="4"/>
      <c r="F31" s="4"/>
      <c r="G31" s="4"/>
      <c r="H31" s="4"/>
    </row>
    <row r="32" ht="15.75" customHeight="1">
      <c r="A32" s="4"/>
      <c r="B32" s="4"/>
      <c r="C32" s="4"/>
      <c r="D32" s="4"/>
      <c r="E32" s="4"/>
      <c r="F32" s="4"/>
      <c r="G32" s="4"/>
      <c r="H32" s="4"/>
    </row>
    <row r="33" ht="15.75" customHeight="1">
      <c r="A33" s="4"/>
      <c r="B33" s="4"/>
      <c r="C33" s="4"/>
      <c r="D33" s="4"/>
      <c r="E33" s="4"/>
      <c r="F33" s="4"/>
      <c r="G33" s="4"/>
      <c r="H33" s="4"/>
    </row>
    <row r="34" ht="15.75" customHeight="1">
      <c r="A34" s="4"/>
      <c r="B34" s="4"/>
      <c r="C34" s="4"/>
      <c r="D34" s="4"/>
      <c r="E34" s="4"/>
      <c r="F34" s="4"/>
      <c r="G34" s="4"/>
      <c r="H34" s="4"/>
    </row>
    <row r="35" ht="15.75" customHeight="1">
      <c r="A35" s="4"/>
      <c r="B35" s="4"/>
      <c r="C35" s="4"/>
      <c r="D35" s="4"/>
      <c r="E35" s="4"/>
      <c r="F35" s="4"/>
      <c r="G35" s="4"/>
      <c r="H35" s="4"/>
    </row>
    <row r="36" ht="15.75" customHeight="1">
      <c r="A36" s="4"/>
      <c r="B36" s="4"/>
      <c r="C36" s="4"/>
      <c r="D36" s="4"/>
      <c r="E36" s="4"/>
      <c r="F36" s="4"/>
      <c r="G36" s="4"/>
      <c r="H36" s="4"/>
    </row>
    <row r="37" ht="15.75" customHeight="1">
      <c r="A37" s="4"/>
      <c r="B37" s="4"/>
      <c r="C37" s="4"/>
      <c r="D37" s="4"/>
      <c r="E37" s="4"/>
      <c r="F37" s="4"/>
      <c r="G37" s="4"/>
      <c r="H37" s="4"/>
    </row>
    <row r="38" ht="15.75" customHeight="1">
      <c r="A38" s="4"/>
      <c r="B38" s="4"/>
      <c r="C38" s="4"/>
      <c r="D38" s="4"/>
      <c r="E38" s="4"/>
      <c r="F38" s="4"/>
      <c r="G38" s="4"/>
      <c r="H38" s="4"/>
    </row>
    <row r="39" ht="15.75" customHeight="1">
      <c r="A39" s="4"/>
      <c r="B39" s="4"/>
      <c r="C39" s="4"/>
      <c r="D39" s="4"/>
      <c r="E39" s="4"/>
      <c r="F39" s="4"/>
      <c r="G39" s="4"/>
      <c r="H39" s="4"/>
    </row>
    <row r="40" ht="15.75" customHeight="1">
      <c r="A40" s="4"/>
      <c r="B40" s="4"/>
      <c r="C40" s="4"/>
      <c r="D40" s="4"/>
      <c r="E40" s="4"/>
      <c r="F40" s="4"/>
      <c r="G40" s="4"/>
      <c r="H40" s="4"/>
    </row>
    <row r="41" ht="15.75" customHeight="1">
      <c r="A41" s="4"/>
      <c r="B41" s="4"/>
      <c r="C41" s="4"/>
      <c r="D41" s="4"/>
      <c r="E41" s="4"/>
      <c r="F41" s="4"/>
      <c r="G41" s="4"/>
      <c r="H41" s="4"/>
    </row>
    <row r="42" ht="15.75" customHeight="1">
      <c r="A42" s="4"/>
      <c r="B42" s="4"/>
      <c r="C42" s="4"/>
      <c r="D42" s="4"/>
      <c r="E42" s="4"/>
      <c r="F42" s="4"/>
      <c r="G42" s="4"/>
      <c r="H42" s="4"/>
    </row>
    <row r="43" ht="15.75" customHeight="1">
      <c r="A43" s="4"/>
      <c r="B43" s="4"/>
      <c r="C43" s="4"/>
      <c r="D43" s="4"/>
      <c r="E43" s="4"/>
      <c r="F43" s="4"/>
      <c r="G43" s="4"/>
      <c r="H43" s="4"/>
    </row>
    <row r="44" ht="15.75" customHeight="1">
      <c r="A44" s="4"/>
      <c r="B44" s="4"/>
      <c r="C44" s="4"/>
      <c r="D44" s="4"/>
      <c r="E44" s="4"/>
      <c r="F44" s="4"/>
      <c r="G44" s="4"/>
      <c r="H44" s="4"/>
    </row>
    <row r="45" ht="15.75" customHeight="1">
      <c r="A45" s="4"/>
      <c r="B45" s="4"/>
      <c r="C45" s="4"/>
      <c r="D45" s="4"/>
      <c r="E45" s="4"/>
      <c r="F45" s="4"/>
      <c r="G45" s="4"/>
      <c r="H45" s="4"/>
    </row>
    <row r="46" ht="15.75" customHeight="1">
      <c r="A46" s="4"/>
      <c r="B46" s="4"/>
      <c r="C46" s="4"/>
      <c r="D46" s="4"/>
      <c r="E46" s="4"/>
      <c r="F46" s="4"/>
      <c r="G46" s="4"/>
      <c r="H46" s="4"/>
    </row>
    <row r="47" ht="15.75" customHeight="1">
      <c r="A47" s="4"/>
      <c r="B47" s="4"/>
      <c r="C47" s="4"/>
      <c r="D47" s="4"/>
      <c r="E47" s="4"/>
      <c r="F47" s="4"/>
      <c r="G47" s="4"/>
      <c r="H47" s="4"/>
    </row>
    <row r="48" ht="15.75" customHeight="1">
      <c r="A48" s="4"/>
      <c r="B48" s="4"/>
      <c r="C48" s="4"/>
      <c r="D48" s="4"/>
      <c r="E48" s="4"/>
      <c r="F48" s="4"/>
      <c r="G48" s="4"/>
      <c r="H48" s="4"/>
    </row>
    <row r="49" ht="15.75" customHeight="1">
      <c r="A49" s="4"/>
      <c r="B49" s="4"/>
      <c r="C49" s="4"/>
      <c r="D49" s="4"/>
      <c r="E49" s="4"/>
      <c r="F49" s="4"/>
      <c r="G49" s="4"/>
      <c r="H49" s="4"/>
    </row>
    <row r="50" ht="15.75" customHeight="1">
      <c r="A50" s="4"/>
      <c r="B50" s="4"/>
      <c r="C50" s="4"/>
      <c r="D50" s="4"/>
      <c r="E50" s="4"/>
      <c r="F50" s="4"/>
      <c r="G50" s="4"/>
      <c r="H50" s="4"/>
    </row>
    <row r="51" ht="15.75" customHeight="1">
      <c r="A51" s="4"/>
      <c r="B51" s="4"/>
      <c r="C51" s="4"/>
      <c r="D51" s="4"/>
      <c r="E51" s="4"/>
      <c r="F51" s="4"/>
      <c r="G51" s="4"/>
      <c r="H51" s="4"/>
    </row>
    <row r="52" ht="15.75" customHeight="1">
      <c r="A52" s="4"/>
      <c r="B52" s="4"/>
      <c r="C52" s="4"/>
      <c r="D52" s="4"/>
      <c r="E52" s="4"/>
      <c r="F52" s="4"/>
      <c r="G52" s="4"/>
      <c r="H52" s="4"/>
    </row>
    <row r="53" ht="15.75" customHeight="1">
      <c r="A53" s="4"/>
      <c r="B53" s="4"/>
      <c r="C53" s="4"/>
      <c r="D53" s="4"/>
      <c r="E53" s="4"/>
      <c r="F53" s="4"/>
      <c r="G53" s="4"/>
      <c r="H53" s="4"/>
    </row>
    <row r="54" ht="15.75" customHeight="1">
      <c r="A54" s="4"/>
      <c r="B54" s="4"/>
      <c r="C54" s="4"/>
      <c r="D54" s="4"/>
      <c r="E54" s="4"/>
      <c r="F54" s="4"/>
      <c r="G54" s="4"/>
      <c r="H54" s="4"/>
    </row>
    <row r="55" ht="15.75" customHeight="1">
      <c r="A55" s="4"/>
      <c r="B55" s="4"/>
      <c r="C55" s="4"/>
      <c r="D55" s="4"/>
      <c r="E55" s="4"/>
      <c r="F55" s="4"/>
      <c r="G55" s="4"/>
      <c r="H55" s="4"/>
    </row>
    <row r="56" ht="15.75" customHeight="1">
      <c r="A56" s="4"/>
      <c r="B56" s="4"/>
      <c r="C56" s="4"/>
      <c r="D56" s="4"/>
      <c r="E56" s="4"/>
      <c r="F56" s="4"/>
      <c r="G56" s="4"/>
      <c r="H56" s="4"/>
    </row>
    <row r="57" ht="15.75" customHeight="1">
      <c r="A57" s="4"/>
      <c r="B57" s="4"/>
      <c r="C57" s="4"/>
      <c r="D57" s="4"/>
      <c r="E57" s="4"/>
      <c r="F57" s="4"/>
      <c r="G57" s="4"/>
      <c r="H57" s="4"/>
    </row>
    <row r="58" ht="15.75" customHeight="1">
      <c r="A58" s="4"/>
      <c r="B58" s="4"/>
      <c r="C58" s="4"/>
      <c r="D58" s="4"/>
      <c r="E58" s="4"/>
      <c r="F58" s="4"/>
      <c r="G58" s="4"/>
      <c r="H58" s="4"/>
    </row>
    <row r="59" ht="15.75" customHeight="1">
      <c r="A59" s="4"/>
      <c r="B59" s="4"/>
      <c r="C59" s="4"/>
      <c r="D59" s="4"/>
      <c r="E59" s="4"/>
      <c r="F59" s="4"/>
      <c r="G59" s="4"/>
      <c r="H59" s="4"/>
    </row>
    <row r="60" ht="15.75" customHeight="1">
      <c r="A60" s="4"/>
      <c r="B60" s="4"/>
      <c r="C60" s="4"/>
      <c r="D60" s="4"/>
      <c r="E60" s="4"/>
      <c r="F60" s="4"/>
      <c r="G60" s="4"/>
      <c r="H60" s="4"/>
    </row>
    <row r="61" ht="15.75" customHeight="1">
      <c r="A61" s="4"/>
      <c r="B61" s="4"/>
      <c r="C61" s="4"/>
      <c r="D61" s="4"/>
      <c r="E61" s="4"/>
      <c r="F61" s="4"/>
      <c r="G61" s="4"/>
      <c r="H61" s="4"/>
    </row>
    <row r="62" ht="15.75" customHeight="1">
      <c r="A62" s="4"/>
      <c r="B62" s="4"/>
      <c r="C62" s="4"/>
      <c r="D62" s="4"/>
      <c r="E62" s="4"/>
      <c r="F62" s="4"/>
      <c r="G62" s="4"/>
      <c r="H62" s="4"/>
    </row>
    <row r="63" ht="15.75" customHeight="1">
      <c r="A63" s="4"/>
      <c r="B63" s="4"/>
      <c r="C63" s="4"/>
      <c r="D63" s="4"/>
      <c r="E63" s="4"/>
      <c r="F63" s="4"/>
      <c r="G63" s="4"/>
      <c r="H63" s="4"/>
    </row>
    <row r="64" ht="15.75" customHeight="1">
      <c r="A64" s="4"/>
      <c r="B64" s="4"/>
      <c r="C64" s="4"/>
      <c r="D64" s="4"/>
      <c r="E64" s="4"/>
      <c r="F64" s="4"/>
      <c r="G64" s="4"/>
      <c r="H64" s="4"/>
    </row>
    <row r="65" ht="15.75" customHeight="1">
      <c r="A65" s="4"/>
      <c r="B65" s="4"/>
      <c r="C65" s="4"/>
      <c r="D65" s="4"/>
      <c r="E65" s="4"/>
      <c r="F65" s="4"/>
      <c r="G65" s="4"/>
      <c r="H65" s="4"/>
    </row>
    <row r="66" ht="15.75" customHeight="1">
      <c r="A66" s="4"/>
      <c r="B66" s="4"/>
      <c r="C66" s="4"/>
      <c r="D66" s="4"/>
      <c r="E66" s="4"/>
      <c r="F66" s="4"/>
      <c r="G66" s="4"/>
      <c r="H66" s="4"/>
    </row>
    <row r="67" ht="15.75" customHeight="1">
      <c r="A67" s="4"/>
      <c r="B67" s="4"/>
      <c r="C67" s="4"/>
      <c r="D67" s="4"/>
      <c r="E67" s="4"/>
      <c r="F67" s="4"/>
      <c r="G67" s="4"/>
      <c r="H67" s="4"/>
    </row>
    <row r="68" ht="15.75" customHeight="1">
      <c r="A68" s="4"/>
      <c r="B68" s="4"/>
      <c r="C68" s="4"/>
      <c r="D68" s="4"/>
      <c r="E68" s="4"/>
      <c r="F68" s="4"/>
      <c r="G68" s="4"/>
      <c r="H68" s="4"/>
    </row>
    <row r="69" ht="15.75" customHeight="1">
      <c r="A69" s="4"/>
      <c r="B69" s="4"/>
      <c r="C69" s="4"/>
      <c r="D69" s="4"/>
      <c r="E69" s="4"/>
      <c r="F69" s="4"/>
      <c r="G69" s="4"/>
      <c r="H69" s="4"/>
    </row>
    <row r="70" ht="15.75" customHeight="1">
      <c r="A70" s="4"/>
      <c r="B70" s="4"/>
      <c r="C70" s="4"/>
      <c r="D70" s="4"/>
      <c r="E70" s="4"/>
      <c r="F70" s="4"/>
      <c r="G70" s="4"/>
      <c r="H70" s="4"/>
    </row>
    <row r="71" ht="15.75" customHeight="1">
      <c r="A71" s="4"/>
      <c r="B71" s="4"/>
      <c r="C71" s="4"/>
      <c r="D71" s="4"/>
      <c r="E71" s="4"/>
      <c r="F71" s="4"/>
      <c r="G71" s="4"/>
      <c r="H71" s="4"/>
    </row>
    <row r="72" ht="15.75" customHeight="1">
      <c r="A72" s="4"/>
      <c r="B72" s="4"/>
      <c r="C72" s="4"/>
      <c r="D72" s="4"/>
      <c r="E72" s="4"/>
      <c r="F72" s="4"/>
      <c r="G72" s="4"/>
      <c r="H72" s="4"/>
    </row>
    <row r="73" ht="15.75" customHeight="1">
      <c r="A73" s="4"/>
      <c r="B73" s="4"/>
      <c r="C73" s="4"/>
      <c r="D73" s="4"/>
      <c r="E73" s="4"/>
      <c r="F73" s="4"/>
      <c r="G73" s="4"/>
      <c r="H73" s="4"/>
    </row>
    <row r="74" ht="15.75" customHeight="1">
      <c r="A74" s="4"/>
      <c r="B74" s="4"/>
      <c r="C74" s="4"/>
      <c r="D74" s="4"/>
      <c r="E74" s="4"/>
      <c r="F74" s="4"/>
      <c r="G74" s="4"/>
      <c r="H74" s="4"/>
    </row>
    <row r="75" ht="15.75" customHeight="1">
      <c r="A75" s="4"/>
      <c r="B75" s="4"/>
      <c r="C75" s="4"/>
      <c r="D75" s="4"/>
      <c r="E75" s="4"/>
      <c r="F75" s="4"/>
      <c r="G75" s="4"/>
      <c r="H75" s="4"/>
    </row>
    <row r="76" ht="15.75" customHeight="1">
      <c r="A76" s="4"/>
      <c r="B76" s="4"/>
      <c r="C76" s="4"/>
      <c r="D76" s="4"/>
      <c r="E76" s="4"/>
      <c r="F76" s="4"/>
      <c r="G76" s="4"/>
      <c r="H76" s="4"/>
    </row>
    <row r="77" ht="15.75" customHeight="1">
      <c r="A77" s="4"/>
      <c r="B77" s="4"/>
      <c r="C77" s="4"/>
      <c r="D77" s="4"/>
      <c r="E77" s="4"/>
      <c r="F77" s="4"/>
      <c r="G77" s="4"/>
      <c r="H77" s="4"/>
    </row>
    <row r="78" ht="15.75" customHeight="1">
      <c r="A78" s="4"/>
      <c r="B78" s="4"/>
      <c r="C78" s="4"/>
      <c r="D78" s="4"/>
      <c r="E78" s="4"/>
      <c r="F78" s="4"/>
      <c r="G78" s="4"/>
      <c r="H78" s="4"/>
    </row>
    <row r="79" ht="15.75" customHeight="1">
      <c r="A79" s="4"/>
      <c r="B79" s="4"/>
      <c r="C79" s="4"/>
      <c r="D79" s="4"/>
      <c r="E79" s="4"/>
      <c r="F79" s="4"/>
      <c r="G79" s="4"/>
      <c r="H79" s="4"/>
    </row>
    <row r="80" ht="15.75" customHeight="1">
      <c r="A80" s="4"/>
      <c r="B80" s="4"/>
      <c r="C80" s="4"/>
      <c r="D80" s="4"/>
      <c r="E80" s="4"/>
      <c r="F80" s="4"/>
      <c r="G80" s="4"/>
      <c r="H80" s="4"/>
    </row>
    <row r="81" ht="15.75" customHeight="1">
      <c r="A81" s="4"/>
      <c r="B81" s="4"/>
      <c r="C81" s="4"/>
      <c r="D81" s="4"/>
      <c r="E81" s="4"/>
      <c r="F81" s="4"/>
      <c r="G81" s="4"/>
      <c r="H81" s="4"/>
    </row>
    <row r="82" ht="15.75" customHeight="1">
      <c r="A82" s="4"/>
      <c r="B82" s="4"/>
      <c r="C82" s="4"/>
      <c r="D82" s="4"/>
      <c r="E82" s="4"/>
      <c r="F82" s="4"/>
      <c r="G82" s="4"/>
      <c r="H82" s="4"/>
    </row>
    <row r="83" ht="15.75" customHeight="1">
      <c r="A83" s="4"/>
      <c r="B83" s="4"/>
      <c r="C83" s="4"/>
      <c r="D83" s="4"/>
      <c r="E83" s="4"/>
      <c r="F83" s="4"/>
      <c r="G83" s="4"/>
      <c r="H83" s="4"/>
    </row>
    <row r="84" ht="15.75" customHeight="1">
      <c r="A84" s="4"/>
      <c r="B84" s="4"/>
      <c r="C84" s="4"/>
      <c r="D84" s="4"/>
      <c r="E84" s="4"/>
      <c r="F84" s="4"/>
      <c r="G84" s="4"/>
      <c r="H84" s="4"/>
    </row>
    <row r="85" ht="15.75" customHeight="1">
      <c r="A85" s="4"/>
      <c r="B85" s="4"/>
      <c r="C85" s="4"/>
      <c r="D85" s="4"/>
      <c r="E85" s="4"/>
      <c r="F85" s="4"/>
      <c r="G85" s="4"/>
      <c r="H85" s="4"/>
    </row>
    <row r="86" ht="15.75" customHeight="1">
      <c r="A86" s="4"/>
      <c r="B86" s="4"/>
      <c r="C86" s="4"/>
      <c r="D86" s="4"/>
      <c r="E86" s="4"/>
      <c r="F86" s="4"/>
      <c r="G86" s="4"/>
      <c r="H86" s="4"/>
    </row>
    <row r="87" ht="15.75" customHeight="1">
      <c r="A87" s="4"/>
      <c r="B87" s="4"/>
      <c r="C87" s="4"/>
      <c r="D87" s="4"/>
      <c r="E87" s="4"/>
      <c r="F87" s="4"/>
      <c r="G87" s="4"/>
      <c r="H87" s="4"/>
    </row>
    <row r="88" ht="15.75" customHeight="1">
      <c r="A88" s="4"/>
      <c r="B88" s="4"/>
      <c r="C88" s="4"/>
      <c r="D88" s="4"/>
      <c r="E88" s="4"/>
      <c r="F88" s="4"/>
      <c r="G88" s="4"/>
      <c r="H88" s="4"/>
    </row>
    <row r="89" ht="15.75" customHeight="1">
      <c r="A89" s="4"/>
      <c r="B89" s="4"/>
      <c r="C89" s="4"/>
      <c r="D89" s="4"/>
      <c r="E89" s="4"/>
      <c r="F89" s="4"/>
      <c r="G89" s="4"/>
      <c r="H89" s="4"/>
    </row>
    <row r="90" ht="15.75" customHeight="1">
      <c r="A90" s="4"/>
      <c r="B90" s="4"/>
      <c r="C90" s="4"/>
      <c r="D90" s="4"/>
      <c r="E90" s="4"/>
      <c r="F90" s="4"/>
      <c r="G90" s="4"/>
      <c r="H90" s="4"/>
    </row>
    <row r="91" ht="15.75" customHeight="1">
      <c r="A91" s="4"/>
      <c r="B91" s="4"/>
      <c r="C91" s="4"/>
      <c r="D91" s="4"/>
      <c r="E91" s="4"/>
      <c r="F91" s="4"/>
      <c r="G91" s="4"/>
      <c r="H91" s="4"/>
    </row>
    <row r="92" ht="15.75" customHeight="1">
      <c r="A92" s="4"/>
      <c r="B92" s="4"/>
      <c r="C92" s="4"/>
      <c r="D92" s="4"/>
      <c r="E92" s="4"/>
      <c r="F92" s="4"/>
      <c r="G92" s="4"/>
      <c r="H92" s="4"/>
    </row>
    <row r="93" ht="15.75" customHeight="1">
      <c r="A93" s="4"/>
      <c r="B93" s="4"/>
      <c r="C93" s="4"/>
      <c r="D93" s="4"/>
      <c r="E93" s="4"/>
      <c r="F93" s="4"/>
      <c r="G93" s="4"/>
      <c r="H93" s="4"/>
    </row>
    <row r="94" ht="15.75" customHeight="1">
      <c r="A94" s="4"/>
      <c r="B94" s="4"/>
      <c r="C94" s="4"/>
      <c r="D94" s="4"/>
      <c r="E94" s="4"/>
      <c r="F94" s="4"/>
      <c r="G94" s="4"/>
      <c r="H94" s="4"/>
    </row>
    <row r="95" ht="15.75" customHeight="1">
      <c r="A95" s="4"/>
      <c r="B95" s="4"/>
      <c r="C95" s="4"/>
      <c r="D95" s="4"/>
      <c r="E95" s="4"/>
      <c r="F95" s="4"/>
      <c r="G95" s="4"/>
      <c r="H95" s="4"/>
    </row>
    <row r="96" ht="15.75" customHeight="1">
      <c r="A96" s="4"/>
      <c r="B96" s="4"/>
      <c r="C96" s="4"/>
      <c r="D96" s="4"/>
      <c r="E96" s="4"/>
      <c r="F96" s="4"/>
      <c r="G96" s="4"/>
      <c r="H96" s="4"/>
    </row>
    <row r="97" ht="15.75" customHeight="1">
      <c r="A97" s="4"/>
      <c r="B97" s="4"/>
      <c r="C97" s="4"/>
      <c r="D97" s="4"/>
      <c r="E97" s="4"/>
      <c r="F97" s="4"/>
      <c r="G97" s="4"/>
      <c r="H97" s="4"/>
    </row>
    <row r="98" ht="15.75" customHeight="1">
      <c r="A98" s="4"/>
      <c r="B98" s="4"/>
      <c r="C98" s="4"/>
      <c r="D98" s="4"/>
      <c r="E98" s="4"/>
      <c r="F98" s="4"/>
      <c r="G98" s="4"/>
      <c r="H98" s="4"/>
    </row>
    <row r="99" ht="15.75" customHeight="1">
      <c r="A99" s="4"/>
      <c r="B99" s="4"/>
      <c r="C99" s="4"/>
      <c r="D99" s="4"/>
      <c r="E99" s="4"/>
      <c r="F99" s="4"/>
      <c r="G99" s="4"/>
      <c r="H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</row>
    <row r="1002" ht="15.75" customHeight="1">
      <c r="A1002" s="4"/>
      <c r="B1002" s="4"/>
      <c r="C1002" s="4"/>
      <c r="D1002" s="4"/>
      <c r="E1002" s="4"/>
      <c r="F1002" s="4"/>
      <c r="G1002" s="4"/>
      <c r="H1002" s="4"/>
    </row>
    <row r="1003" ht="15.75" customHeight="1">
      <c r="A1003" s="4"/>
      <c r="B1003" s="4"/>
      <c r="C1003" s="4"/>
      <c r="D1003" s="4"/>
      <c r="E1003" s="4"/>
      <c r="F1003" s="4"/>
      <c r="G1003" s="4"/>
      <c r="H1003" s="4"/>
    </row>
  </sheetData>
  <mergeCells count="2">
    <mergeCell ref="A9:D9"/>
    <mergeCell ref="A18:E18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3" width="10.29"/>
    <col customWidth="1" min="4" max="26" width="8.71"/>
  </cols>
  <sheetData>
    <row r="1">
      <c r="C1" s="94" t="s">
        <v>126</v>
      </c>
    </row>
    <row r="2">
      <c r="A2" s="95" t="s">
        <v>83</v>
      </c>
      <c r="B2" s="96">
        <v>10.16</v>
      </c>
      <c r="C2" s="96">
        <v>10.16</v>
      </c>
    </row>
    <row r="3">
      <c r="A3" s="95"/>
      <c r="B3" s="57">
        <f t="shared" ref="B3:B4" si="1">(B2+B5)/2</f>
        <v>12.455</v>
      </c>
      <c r="C3" s="96">
        <v>10.23</v>
      </c>
    </row>
    <row r="4">
      <c r="A4" s="95"/>
      <c r="B4" s="57">
        <f t="shared" si="1"/>
        <v>14.7075</v>
      </c>
      <c r="C4" s="96">
        <v>14.14</v>
      </c>
    </row>
    <row r="5">
      <c r="A5" s="95" t="s">
        <v>127</v>
      </c>
      <c r="B5" s="96">
        <v>14.75</v>
      </c>
      <c r="C5" s="96">
        <v>14.75</v>
      </c>
    </row>
    <row r="6">
      <c r="A6" s="95" t="s">
        <v>53</v>
      </c>
      <c r="B6" s="96">
        <v>16.96</v>
      </c>
      <c r="C6" s="96">
        <v>19.28</v>
      </c>
    </row>
    <row r="7">
      <c r="A7" s="95"/>
      <c r="B7" s="57">
        <f>(B6+B8)/2</f>
        <v>21.08</v>
      </c>
      <c r="C7" s="96">
        <v>24.96</v>
      </c>
    </row>
    <row r="8">
      <c r="A8" s="95" t="s">
        <v>86</v>
      </c>
      <c r="B8" s="96">
        <v>25.2</v>
      </c>
      <c r="C8" s="96">
        <v>25.2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2020-08-27T12:24:32Z</dcterms:created>
  <dc:creator>x</dc:creator>
</cp:coreProperties>
</file>